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Альтернатива" state="visible" r:id="rId4"/>
    <sheet sheetId="2" name="Индия" state="visible" r:id="rId5"/>
    <sheet sheetId="3" name="Калитва" state="visible" r:id="rId6"/>
    <sheet sheetId="4" name="Китай" state="visible" r:id="rId7"/>
    <sheet sheetId="5" name="Лысьвенские Эмали" state="visible" r:id="rId8"/>
    <sheet sheetId="6" name="ММК Эмаль" state="visible" r:id="rId9"/>
    <sheet sheetId="7" name="НЕМАН" state="visible" r:id="rId10"/>
    <sheet sheetId="8" name="Россия" state="visible" r:id="rId11"/>
    <sheet sheetId="9" name="СКОВО" state="visible" r:id="rId12"/>
    <sheet sheetId="10" name="Эльфпласт" state="visible" r:id="rId13"/>
    <sheet sheetId="11" name="AKCAM" state="visible" r:id="rId14"/>
    <sheet sheetId="12" name="AkuzPlastic" state="visible" r:id="rId15"/>
    <sheet sheetId="13" name="BERLIN-ROYAL" state="visible" r:id="rId16"/>
    <sheet sheetId="14" name="BORCAM" state="visible" r:id="rId17"/>
    <sheet sheetId="15" name="DARIIS" state="visible" r:id="rId18"/>
    <sheet sheetId="16" name="KERAMIKA" state="visible" r:id="rId19"/>
    <sheet sheetId="17" name="KUKMARA" state="visible" r:id="rId20"/>
    <sheet sheetId="18" name="LuxPlastic" state="visible" r:id="rId21"/>
    <sheet sheetId="19" name="VITROSS" state="visible" r:id="rId22"/>
    <sheet sheetId="20" name="ПРОЧИЕ БРЕНДЫ" state="visible" r:id="rId23"/>
    <sheet sheetId="21" name="БЕЗ БРЕНДА" state="visible" r:id="rId24"/>
    <sheet sheetId="22" name="ИТОГО" state="visible" r:id="rId25"/>
  </sheets>
  <calcPr calcId="171027"/>
</workbook>
</file>

<file path=xl/sharedStrings.xml><?xml version="1.0" encoding="utf-8"?>
<sst xmlns="http://schemas.openxmlformats.org/spreadsheetml/2006/main" count="8188" uniqueCount="5207">
  <si>
    <t>Альтернатива</t>
  </si>
  <si>
    <t>Прайс-лист DARIIS от 11.09.2026. Цены за штуку, с НДС. Собираем заказ поштучно — упаковку разбираем.</t>
  </si>
  <si>
    <t>Самовывоз от 10 000 ₽. Бесплатная доставка в пределах МКАД от 100 000 ₽. По области и в регионы — транспортными компаниями, за счёт покупателя.</t>
  </si>
  <si>
    <t>Проставьте количество в колонке «Заказ» — сумма посчитается сама. Готовый файл пришлите на info@optomposuda.ru или в мессенджер. Фото и характеристики — по ссылке в колонке «Карточка».</t>
  </si>
  <si>
    <t>Итого по листу:</t>
  </si>
  <si>
    <t>Артикул</t>
  </si>
  <si>
    <t>Наименование</t>
  </si>
  <si>
    <t>Бренд</t>
  </si>
  <si>
    <t>В упаковке, шт</t>
  </si>
  <si>
    <t>Цена, ₽</t>
  </si>
  <si>
    <t>Остаток</t>
  </si>
  <si>
    <t>Заказ, шт</t>
  </si>
  <si>
    <t>Сумма, ₽</t>
  </si>
  <si>
    <t>Карточка</t>
  </si>
  <si>
    <t>ВАННАЯ КОМНАТА</t>
  </si>
  <si>
    <t>М514</t>
  </si>
  <si>
    <t>Мыльница ПМ Стиль М514 Альтерн</t>
  </si>
  <si>
    <t>М5680</t>
  </si>
  <si>
    <t>Мышеловка прямоуг. (средняя) М5680 Альтерн</t>
  </si>
  <si>
    <t>М6067</t>
  </si>
  <si>
    <t>Сиденье детское для купания (розовый) М6067 Альтерн</t>
  </si>
  <si>
    <t>КУХОННЫЕ ПРИНАДЛЕЖНОСТИ</t>
  </si>
  <si>
    <t>М897</t>
  </si>
  <si>
    <t>Емкость ПМ 2,0л с ручкой ПЭТ М897 Альтерн</t>
  </si>
  <si>
    <t>М6252</t>
  </si>
  <si>
    <t>Подставка под столовые приборы "Сердце" (белый) М6252 Альтерн</t>
  </si>
  <si>
    <t>М6612</t>
  </si>
  <si>
    <t>Сито "Эконом" (290 / 250 / 60 мм) М6612 Альтерн</t>
  </si>
  <si>
    <t>М5553</t>
  </si>
  <si>
    <t>Форма для лепки пельменей (диаметр 270 мм) М5553 Альтерн</t>
  </si>
  <si>
    <t>МЕБЕЛЬ ДЛЯ ДОМА</t>
  </si>
  <si>
    <t>М8349</t>
  </si>
  <si>
    <t>Диван "Ротанг-плюс" 3-х местный (белый) (без подушки) (уп.1)</t>
  </si>
  <si>
    <t>М8419</t>
  </si>
  <si>
    <t>Набор из 2-ух кресел "Ротанг-плюс" (белый) (без подушки) (уп.1)</t>
  </si>
  <si>
    <t>М8693</t>
  </si>
  <si>
    <t>Стол "Ротанг-плюс" 940х940х740мм (белый) (уп.1)</t>
  </si>
  <si>
    <t>М2547</t>
  </si>
  <si>
    <t>Этажерка ПМ 3-х секцион Плетенка №1 бежевый М2547 Альтерн</t>
  </si>
  <si>
    <t>М2512</t>
  </si>
  <si>
    <t>Этажерка ПМ для обуви 4-х секцион Башмачки М2512 Альтерн</t>
  </si>
  <si>
    <t>ПИКНИК И САД</t>
  </si>
  <si>
    <t>М453</t>
  </si>
  <si>
    <t>Канистра-бочка 30л прямоуг. (диам.горл.215мм) М453 Альтерн</t>
  </si>
  <si>
    <t>М8851</t>
  </si>
  <si>
    <t>Кашпо напольное "Ротанг" 220х220х410мм (мокко) (уп.7)</t>
  </si>
  <si>
    <t>М8850</t>
  </si>
  <si>
    <t>Кашпо напольное "Ротанг" 230х220х415мм (со вставкой)(мокко) (уп.5)</t>
  </si>
  <si>
    <t>М8845</t>
  </si>
  <si>
    <t>Кашпо напольное "Ротанг" 270х270х510мм (мокко) (уп.7)</t>
  </si>
  <si>
    <t>М8849</t>
  </si>
  <si>
    <t>Кашпо напольное "Ротанг" 285х270х515мм (со вставкой)(мокко) (уп.5)</t>
  </si>
  <si>
    <t>М8847</t>
  </si>
  <si>
    <t>Кашпо напольное "Ротанг" 325х325х610мм (мокко) (уп.5)</t>
  </si>
  <si>
    <t>М8848</t>
  </si>
  <si>
    <t>Кашпо напольное "Ротанг" 340х320х615мм (со вставкой)(мокко) (уп.3)</t>
  </si>
  <si>
    <t>М534</t>
  </si>
  <si>
    <t>Ограждение ПМ Подсолнухи (450*300) ( 6шт) М534 Альтерн</t>
  </si>
  <si>
    <t>М375</t>
  </si>
  <si>
    <t>Ограждение ПМ Решётка (450х360)(6шт.) М375 Альтерн</t>
  </si>
  <si>
    <t>М613</t>
  </si>
  <si>
    <t>Ограждение ПМ Цветник №1 (620*290) (6шт.) М613 Альтерн</t>
  </si>
  <si>
    <t>М615</t>
  </si>
  <si>
    <t>Ограждение ПМ Цветник №2 (620*920) (6шт) М615 Альтерн</t>
  </si>
  <si>
    <t>М1295</t>
  </si>
  <si>
    <t>Туалет ПМ дачный (коричневый) М1295 Альтерн</t>
  </si>
  <si>
    <t>М1157</t>
  </si>
  <si>
    <t>Умывальник-Рукомойник ПМ 3л "Дачник" М1157 Альтерн</t>
  </si>
  <si>
    <t>М080</t>
  </si>
  <si>
    <t>Умывальник-рукомойник ПМ 3л. М080 Альтерн</t>
  </si>
  <si>
    <t>М367</t>
  </si>
  <si>
    <t>Умывальник-рукомойник ПМ 5л М367 Альтерн</t>
  </si>
  <si>
    <t>М331</t>
  </si>
  <si>
    <t>Умывальник-рукомойник ПМ универсальный 9л М331 Альтерн</t>
  </si>
  <si>
    <t>СТОЛОВАЯ ПОСУДА</t>
  </si>
  <si>
    <t>М166</t>
  </si>
  <si>
    <t>Кувшин ПМ со сливом 2,5л М166 Альтерн</t>
  </si>
  <si>
    <t>М6160</t>
  </si>
  <si>
    <t>Салфетница "Бристоль" ("Персик" светло-желтый) М6160 Альтерн</t>
  </si>
  <si>
    <t>М6159</t>
  </si>
  <si>
    <t>Салфетница "Бристоль" (белый) М6159 Альтерн</t>
  </si>
  <si>
    <t>М7247</t>
  </si>
  <si>
    <t>Солонка "Горошек" (55 / 45 / 85 мм) (бело-голубой) М7247 Альтерн</t>
  </si>
  <si>
    <t>М3814</t>
  </si>
  <si>
    <t>Солонка "Горошек" (55 / 45 / 85 мм) (бело-синий) М3814 Альтерн</t>
  </si>
  <si>
    <t>УХОД ЗА ДОМОМ И ХРАНЕНИЕ</t>
  </si>
  <si>
    <t>М457</t>
  </si>
  <si>
    <t>Бак 60л. с крышкой М457 Альтерн</t>
  </si>
  <si>
    <t>М461</t>
  </si>
  <si>
    <t>Бидон 2,0л ПЭТ М461 (130х130х235 мм) Альтерн</t>
  </si>
  <si>
    <t>М1625</t>
  </si>
  <si>
    <t>Бочка-бак 200л. круглая с крышкой (700 / 700 / 1000 мм) М1625 Альтерн</t>
  </si>
  <si>
    <t>М1626</t>
  </si>
  <si>
    <t>Бочка-бак 250л квадратная с крышкой (700 / 700 / 1000 мм) М1626 Альтерн</t>
  </si>
  <si>
    <t>М3047</t>
  </si>
  <si>
    <t>Бочка-бак 300л квадратная с крышкой (690 / 690 / 1010 мм) М3047 Альтерн</t>
  </si>
  <si>
    <t>М7439</t>
  </si>
  <si>
    <t>Бочка-бак 350л квадратная с крышкой (695 / 695 / 1060 мм) М7439 Альтерн</t>
  </si>
  <si>
    <t>М2454</t>
  </si>
  <si>
    <t>Ведро ПМ 10л с крыш Маки М2454 Альтерн</t>
  </si>
  <si>
    <t>М049</t>
  </si>
  <si>
    <t>Канистра ПМ 10л со сливом (горл d-3,7см) М049 Альтерн</t>
  </si>
  <si>
    <t>М7411</t>
  </si>
  <si>
    <t>Канистра-бочка 170л (диам.горл.215мм,500х500х820) М7411 Альтерн</t>
  </si>
  <si>
    <t>М409</t>
  </si>
  <si>
    <t>Канистра-бочка ПМ 45л (горл d-25см) М409 Альтерн</t>
  </si>
  <si>
    <t>М4603</t>
  </si>
  <si>
    <t>Контейнер универс 120л на колёс.(зел) М4603 Альтерн</t>
  </si>
  <si>
    <t>М4667</t>
  </si>
  <si>
    <t>Контейнер универс 120л на колёс.(син) М4667 Альтерн</t>
  </si>
  <si>
    <t>М5937</t>
  </si>
  <si>
    <t>Контейнер универс 240л на колёс.(зел) М5937 Альтерн</t>
  </si>
  <si>
    <t>М5938</t>
  </si>
  <si>
    <t>Контейнер универс 240л на колёс.(син) М5938 Альтерн</t>
  </si>
  <si>
    <t>М4664</t>
  </si>
  <si>
    <t>Контейнер универс 65л на колёс.(син) М4664 Альтерн</t>
  </si>
  <si>
    <t>М1628</t>
  </si>
  <si>
    <t>Лейка ПМ 10л. "Премьера" с рассеивателем М1628 Альтерн</t>
  </si>
  <si>
    <t>М6775</t>
  </si>
  <si>
    <t>Лейка ПМ 12л. "Премьера" с рассеивателем М6775 Альтерн</t>
  </si>
  <si>
    <t>М874</t>
  </si>
  <si>
    <t>Лейка ПМ 9л "Листок" с рассеивателем М874 Альтерн</t>
  </si>
  <si>
    <t>М5603</t>
  </si>
  <si>
    <t>Пылевыбивалка "Золушка"(600х252х5) М5603 Альтерн</t>
  </si>
  <si>
    <t>М178</t>
  </si>
  <si>
    <t>Пылевыбивалка ПМ ( 605 / 215 / 25мм) М178 Альтерн</t>
  </si>
  <si>
    <t>М675</t>
  </si>
  <si>
    <t>Таз ПМ 40л овальный М675 Альтерн</t>
  </si>
  <si>
    <t>М1040</t>
  </si>
  <si>
    <t>Швабра + черенок усиленный М1040 Альтерн</t>
  </si>
  <si>
    <t>М2618</t>
  </si>
  <si>
    <t>Швабра-поломойка "Хозяюшка" с черенком (стандарт)(веревочная) М2618 Альтерн</t>
  </si>
  <si>
    <t>М3254</t>
  </si>
  <si>
    <t>Швабра-поломойка "Хозяюшка" с черенком (усиленный)(веревочный) М3254 Альтерн</t>
  </si>
  <si>
    <t>М3256</t>
  </si>
  <si>
    <t>Швабра-поломойка "Хозяюшка"люкс с чер усил полот (уп.30) М3256</t>
  </si>
  <si>
    <t>Индия</t>
  </si>
  <si>
    <t>МН-105/24</t>
  </si>
  <si>
    <t>Дуршлаг 2кор.ручка 24см нержавеющая сталь18/18 МН-105/24</t>
  </si>
  <si>
    <t>МН-105/26</t>
  </si>
  <si>
    <t>Дуршлаг 2кор.ручка 26см нержавеющая сталь18/18 МН-105/26</t>
  </si>
  <si>
    <t>МН-240</t>
  </si>
  <si>
    <t>Набор стаканов под стол.приб (10,11,12см) (нержавеющая сталь) МН-240</t>
  </si>
  <si>
    <t>МН-197/А</t>
  </si>
  <si>
    <t>Ситечко с ручкой 18см МН-197/А (нержавеющая стальавейка)</t>
  </si>
  <si>
    <t>ПОСУДА ДЛЯ ПРИГОТОВЛЕНИЯ</t>
  </si>
  <si>
    <t>МН-532/350</t>
  </si>
  <si>
    <t>Турка для кофе 350мл нержавеющая стальав.МН-532/350</t>
  </si>
  <si>
    <t>МН-532/450</t>
  </si>
  <si>
    <t>Турка для кофе 450мл нержавеющая стальав.МН-532/450</t>
  </si>
  <si>
    <t>МН-532 С/350</t>
  </si>
  <si>
    <t>Турка с упр.дном 350мл нержавеющая стальав.МН-532 С/350</t>
  </si>
  <si>
    <t>МН-532 С/450</t>
  </si>
  <si>
    <t>Турка с упр.дном 450мл нержавеющая стальав.МН-532 С/450</t>
  </si>
  <si>
    <t>МН-532 С/650</t>
  </si>
  <si>
    <t>Турка с упр.дном 650мл нержавеющая стальав.МН-532 С/650</t>
  </si>
  <si>
    <t>МН-188/А/900</t>
  </si>
  <si>
    <t>Кружка 11см нержавеющая сталь (900мл) 18/18 МН-188/А/900</t>
  </si>
  <si>
    <t>МН-188/А/250</t>
  </si>
  <si>
    <t>Кружка 7см нержавеющая сталь 220мл б/кр.18/18 МН-188/А/250</t>
  </si>
  <si>
    <t>МН-188/А/400</t>
  </si>
  <si>
    <t>Кружка 8см нержавеющая сталь 330мл без крышки 18/18 МН-188/А/400</t>
  </si>
  <si>
    <t>МН-256</t>
  </si>
  <si>
    <t>Кружка нержавеющая стальав. сторож для молока 2л МН-256</t>
  </si>
  <si>
    <t>МН-434/700</t>
  </si>
  <si>
    <t>Миска глубокая 18см (1000 мл) нержавеющая сталь 18/18 МН-434/700</t>
  </si>
  <si>
    <t>МН-434/1900</t>
  </si>
  <si>
    <t>Миска глубокая 26см 2,7л нержавеющая сталь 18/18 МН-434/1900</t>
  </si>
  <si>
    <t>МН-434/4500</t>
  </si>
  <si>
    <t>Миска глубокая 28см 3,6л нержавеющая сталь 18/18 МН-434/4500</t>
  </si>
  <si>
    <t>МН-434/3500</t>
  </si>
  <si>
    <t>Миска глубокая 30см 4,4л нержавеющая сталь 18/18 МН-434/3500</t>
  </si>
  <si>
    <t>МН-434/5500</t>
  </si>
  <si>
    <t>Миска глубокая 34см 6л нержавеющая сталь18/18 МН-434/5500</t>
  </si>
  <si>
    <t>МН-435/10000</t>
  </si>
  <si>
    <t>Миска глубокая 43см 10л нержавеющая сталь18/18 МН-435/10000</t>
  </si>
  <si>
    <t>МН-435/13000</t>
  </si>
  <si>
    <t>Миска глубокая 48см 13л нержавеющая сталь18/18 МН-435/13000</t>
  </si>
  <si>
    <t>МН-435/17000</t>
  </si>
  <si>
    <t>Миска глубокая 53см 17л нержавеющая сталь18/18 МН-435/17000</t>
  </si>
  <si>
    <t>МН-435/22000</t>
  </si>
  <si>
    <t>Миска глубокая 58см 22л нержавеющая сталь18/18 МН-435/22000</t>
  </si>
  <si>
    <t>UC-IND35</t>
  </si>
  <si>
    <t>Салфетница нержавеющая сталь17,5*9см</t>
  </si>
  <si>
    <t>МН-192А/12/19212</t>
  </si>
  <si>
    <t>Ведро с крышкой 12л нержавеющая сталь(по факту 10л) толщ. 0,6мм 18/18 МН-192А/12</t>
  </si>
  <si>
    <t>МН-192/А/15/19215</t>
  </si>
  <si>
    <t>Ведро с крышкой 15л нержавеющая сталь(по факту 12л) толщ. 0,6мм 18/18 МН-192/А/15</t>
  </si>
  <si>
    <t>МН-192/А/20/19215</t>
  </si>
  <si>
    <t>Ведро с крышкой 20л нержавеющая сталь(по факту 17,5л) толщ. 0,6мм 18/18 МН-192/А/20</t>
  </si>
  <si>
    <t>МН-192А/5/19205</t>
  </si>
  <si>
    <t>Ведро с крышкой 5л нержавеющая сталь (по факту 4л) толщ. 0,6мм 18/18 МН-192А/5</t>
  </si>
  <si>
    <t>МН-192/А/8/19208</t>
  </si>
  <si>
    <t>Ведро с крышкой 8л нержавеющая сталь (по факту 7 л) . толщ. 0,6мм 18/18 МН-192/А/8</t>
  </si>
  <si>
    <t>Калитва</t>
  </si>
  <si>
    <t>13411</t>
  </si>
  <si>
    <t>13411 Форма для мясопродуктов 412*412*130мм,Алюминий</t>
  </si>
  <si>
    <t>105</t>
  </si>
  <si>
    <t>Щетка д механическая с одним валиком (18х6), цвета в ассортименте</t>
  </si>
  <si>
    <t>МАНТОВАРКИ, СКОРОВАРКИ, СОКОВАРКИ, ПАРОВАРКИ</t>
  </si>
  <si>
    <t>14425</t>
  </si>
  <si>
    <t>14425 Кастрюля пароварка 2,5 л.мет.кр</t>
  </si>
  <si>
    <t>18061</t>
  </si>
  <si>
    <t>18061 Соковарка 6л</t>
  </si>
  <si>
    <t>18062</t>
  </si>
  <si>
    <t>18062 Соковарка 8,0л</t>
  </si>
  <si>
    <t>180635</t>
  </si>
  <si>
    <t>180635 Мантоварка ал..6,0 л, с 3 сетками в нов. упаковке -260мм</t>
  </si>
  <si>
    <t>180640</t>
  </si>
  <si>
    <t>180640 Манты-казан 6.0 л. с 4 сетками, 3,0 кг.Ø26 см ,1,5мм</t>
  </si>
  <si>
    <t>180645</t>
  </si>
  <si>
    <t>180645 Мантоварка 6,0л. с 4-мя дисками,в новой упаковке 260мм,2,8кг</t>
  </si>
  <si>
    <t>18104</t>
  </si>
  <si>
    <t>18104 Мантоварка 10 л. с 4 дисками, 3.6 кг.(с новым увеличенным корпусом)</t>
  </si>
  <si>
    <t>181325</t>
  </si>
  <si>
    <t>181325 Мантоварка 13 л, с 2-мя сетками ,340мм</t>
  </si>
  <si>
    <t>18133</t>
  </si>
  <si>
    <t>18133 Мантоварка 13 л, с 3-мя сетками ,340мм</t>
  </si>
  <si>
    <t>181345</t>
  </si>
  <si>
    <t>181345 Манты-казан с фланцем 13,0 л. с 4 сетками, 5,4 кг</t>
  </si>
  <si>
    <t>18453</t>
  </si>
  <si>
    <t>18453 Мантоварка 4,5л. с 3-мя дисками, 2,1кг</t>
  </si>
  <si>
    <t>19008</t>
  </si>
  <si>
    <t>19008 Сокосборник соковарки 6,0л</t>
  </si>
  <si>
    <t>19026</t>
  </si>
  <si>
    <t>19026 Сетка к мантоварке 6,0 л</t>
  </si>
  <si>
    <t>19034</t>
  </si>
  <si>
    <t>19034 Сетка к мантоварке 13,0 л</t>
  </si>
  <si>
    <t>ЭЛФ249</t>
  </si>
  <si>
    <t>Таз "Лагуна" 24 л прямоугольный цвета в ассорт</t>
  </si>
  <si>
    <t>1017</t>
  </si>
  <si>
    <t>1017 Кастрюля 1,7л,2 м.ручка,мет./кр</t>
  </si>
  <si>
    <t>1025</t>
  </si>
  <si>
    <t>1025 Кастрюля 2,5л.2м.ручка,мет.кр</t>
  </si>
  <si>
    <t>1030</t>
  </si>
  <si>
    <t>1030 Кастрюля ал. 3,0 л.2м.ручка,мет.кр</t>
  </si>
  <si>
    <t>1045</t>
  </si>
  <si>
    <t>1045 Кастрюля ал.4,5л,2 м.ручка,мет.кр</t>
  </si>
  <si>
    <t>1060</t>
  </si>
  <si>
    <t>1060 Кастрюля ал. 6л, 2 м.ручка,мет.кр</t>
  </si>
  <si>
    <t>1080</t>
  </si>
  <si>
    <t>1080 Кастрюля ал.8л.2м.ручка,мет.кр</t>
  </si>
  <si>
    <t>1100</t>
  </si>
  <si>
    <t>1100 Кастрюля ал.10 л, 2м.ручка,мет.кр</t>
  </si>
  <si>
    <t>1130</t>
  </si>
  <si>
    <t>1130 Кастрюля ал.13л,2м.ручка,мет.кр</t>
  </si>
  <si>
    <t>1150</t>
  </si>
  <si>
    <t>1150 Кастрюля 15л,2м.ручка,мет.кр</t>
  </si>
  <si>
    <t>14018/2414018</t>
  </si>
  <si>
    <t>14018 Кастрюля ал.1,8 л,1м.ручка,мет.кр</t>
  </si>
  <si>
    <t>14025/2414025</t>
  </si>
  <si>
    <t>14025 Кастрюля ал. 2,5 л,2м.ручка,мет.кр</t>
  </si>
  <si>
    <t>14035/2414035</t>
  </si>
  <si>
    <t>14035/2414035 Кастрюля ал.3,5 л, 2 м.ручка, мет.кр</t>
  </si>
  <si>
    <t>14045/2414045</t>
  </si>
  <si>
    <t>14045 Кастрюля ал. 4,5 л, 2м.ручка, мет.кр</t>
  </si>
  <si>
    <t>14060/2414060</t>
  </si>
  <si>
    <t>14060 Кастрюля ал. 6 л,2м.ручка,мет.кр</t>
  </si>
  <si>
    <t>14080/2414080</t>
  </si>
  <si>
    <t>14080 Кастрюля ал.8л.2м.ручка,мет.кр</t>
  </si>
  <si>
    <t>14100</t>
  </si>
  <si>
    <t>14100 Кастрюля ал.10 л,2м.ручка,мет.кр</t>
  </si>
  <si>
    <t>14150</t>
  </si>
  <si>
    <t>14150 Кастрюля ал. 15 л.,2м. ручка,мет.кр</t>
  </si>
  <si>
    <t>14300</t>
  </si>
  <si>
    <t>14300 Кастрюля ал. 30 л.2м.ручка,мет.кр</t>
  </si>
  <si>
    <t>L-168</t>
  </si>
  <si>
    <t>168.ФОРМОЧКИ ДЛЯ КЕКСА 100 ШТна блистере,в кор</t>
  </si>
  <si>
    <t>17202</t>
  </si>
  <si>
    <t>17202 Котел 20 л,алюм.2м.ручка,мет.кр</t>
  </si>
  <si>
    <t>17402</t>
  </si>
  <si>
    <t>17402 Котел 40 л алюмин.2м.ручка,мет.кр</t>
  </si>
  <si>
    <t>19500</t>
  </si>
  <si>
    <t>19500 Кофеварка ал. 0,5 л</t>
  </si>
  <si>
    <t>19800</t>
  </si>
  <si>
    <t>19800 Кофеварка 0,8л</t>
  </si>
  <si>
    <t>3282</t>
  </si>
  <si>
    <t>3282 Линия "Кулинария" Противень 284*424*55</t>
  </si>
  <si>
    <t>3862635</t>
  </si>
  <si>
    <t>3862635 Сотейник 260 мм, 2 ручка, ст/кр, антипригарное покрытие "Black Stone",цвет внут.покр.черный с серой крошкой</t>
  </si>
  <si>
    <t>3872435</t>
  </si>
  <si>
    <t>3872435 Сковорода 240 мм, 1 ручка, ст/кр, антипригарное покрытие "Black Stone",цвет внут.покр.черный с серой крошкой</t>
  </si>
  <si>
    <t>3872835</t>
  </si>
  <si>
    <t>3872835 Сковорода 280 мм,1 ручка, ст/кр, антипригарное покрытие "Black Stone"цвет внут.покр.черный с серой крошкой</t>
  </si>
  <si>
    <t>39671615</t>
  </si>
  <si>
    <t>39671615 Сковорода 160 мм , 1 ручка, б/кр, а/покр. 1,6 мм</t>
  </si>
  <si>
    <t>39671815</t>
  </si>
  <si>
    <t>39671815 Сковорода 180 мм , 1 ручка, б/кр, а/покр. 1,6 мм</t>
  </si>
  <si>
    <t>39672015</t>
  </si>
  <si>
    <t>39672015 Сковорода 200 мм , 1 ручка, б/кр, а/покр. 1,6 мм</t>
  </si>
  <si>
    <t>39672215</t>
  </si>
  <si>
    <t>39672215 Сковорода 220 мм , 1 ручка, б/кр, а/покр. 1,6 мм</t>
  </si>
  <si>
    <t>39672415</t>
  </si>
  <si>
    <t>39672415 Сковорода 240 мм , 1 ручка, б/кр, а/покр. 1,6 мм</t>
  </si>
  <si>
    <t>39672615</t>
  </si>
  <si>
    <t>39672615 Сковорода 260 мм , 1 ручка, б/кр, а/покр. 1,6 мм</t>
  </si>
  <si>
    <t>63034</t>
  </si>
  <si>
    <t>63034 Набор противней"Лазаньера"19*25,23*30,27*35,2руч,без крышки</t>
  </si>
  <si>
    <t>6621414</t>
  </si>
  <si>
    <t>6621414 Форма ПАСХАЛЬНАЯ АП,140мм без/кр -бордо</t>
  </si>
  <si>
    <t>6621614</t>
  </si>
  <si>
    <t>6621614 Форма ПАСХАЛЬНАЯ АП,160мм без/кр -бордо</t>
  </si>
  <si>
    <t>6621814</t>
  </si>
  <si>
    <t>6621814 Форма ПАСХАЛЬНАЯ АП 180мм без/кр -бордо</t>
  </si>
  <si>
    <t>6662214/39662205</t>
  </si>
  <si>
    <t>6662214 Блинница 220мм,1руч.без/кр. внешнее покрытие Piroskan бордо</t>
  </si>
  <si>
    <t>85662204</t>
  </si>
  <si>
    <t>Блинница 22 см, антипригарное покрытие, без крышки</t>
  </si>
  <si>
    <t>LA-120</t>
  </si>
  <si>
    <t>Корзина для белья 52л,44,5x33,5x55 cm</t>
  </si>
  <si>
    <t>LA-525</t>
  </si>
  <si>
    <t>Корзина для белья овальная 25 л54х22х40 cm</t>
  </si>
  <si>
    <t>0289/1</t>
  </si>
  <si>
    <t>Набор (ёрш+подставка) плетёный Ротанг коричневый</t>
  </si>
  <si>
    <t>5201</t>
  </si>
  <si>
    <t>5201 Миска 200 мм,1,0л,алюмин</t>
  </si>
  <si>
    <t>15451</t>
  </si>
  <si>
    <t>15451Таз 14л 450мм</t>
  </si>
  <si>
    <t>15501</t>
  </si>
  <si>
    <t>15501Таз 20л 500мм</t>
  </si>
  <si>
    <t>16184</t>
  </si>
  <si>
    <t>16184 Фляга 18 л алюмин</t>
  </si>
  <si>
    <t>16254</t>
  </si>
  <si>
    <t>16254 Фляга 25 л алюмин</t>
  </si>
  <si>
    <t>5341</t>
  </si>
  <si>
    <t>5341Таз для варенья 8,5 л, 34см диаметр,Алюминий</t>
  </si>
  <si>
    <t>5361</t>
  </si>
  <si>
    <t>5361Таз для варенья 10,6л, 36см диаметр,Алюминий</t>
  </si>
  <si>
    <t>Китай</t>
  </si>
  <si>
    <t>HH3523PPA</t>
  </si>
  <si>
    <t>Доска кухонная 35*23*0,2 из полипропилена</t>
  </si>
  <si>
    <t>HH3422PP</t>
  </si>
  <si>
    <t>Доска-совок разделочная, кухонная 33,6*21,8*0.2 из пластика</t>
  </si>
  <si>
    <t>PPC7K</t>
  </si>
  <si>
    <t>Форма для печенья (6шт), пластмассовая</t>
  </si>
  <si>
    <t>XH0008-1 Ф</t>
  </si>
  <si>
    <t>Термосалфетки 45*30 (100шт в кор) XH0008-1 Ф</t>
  </si>
  <si>
    <t>XH0008-4 Г</t>
  </si>
  <si>
    <t>Термосалфетки 45*30 Г (100шт в кор) XH0008-4 Г</t>
  </si>
  <si>
    <t>XH0008-6 З</t>
  </si>
  <si>
    <t>Термосалфетки 45*30 З (100шт в кор) XH0008-6 З</t>
  </si>
  <si>
    <t>XH0008-5 К</t>
  </si>
  <si>
    <t>Термосалфетки 45*30 К (100шт в кор) XH0008-5 К</t>
  </si>
  <si>
    <t>XH0008-6 К</t>
  </si>
  <si>
    <t>Термосалфетки 45*30 К (100шт в кор) XH0008-6 К</t>
  </si>
  <si>
    <t>XH0008-4 Р</t>
  </si>
  <si>
    <t>Термосалфетки 45*30 Р (100шт в кор) XH0008-4 Р</t>
  </si>
  <si>
    <t>XH0008-4 С</t>
  </si>
  <si>
    <t>Термосалфетки 45*30 С (100шт в кор) XH0008-4 С</t>
  </si>
  <si>
    <t>XH0008-6 С</t>
  </si>
  <si>
    <t>Термосалфетки 45*30 С (100шт в кор) XH0008-6 С</t>
  </si>
  <si>
    <t>Лысьвенские Эмали</t>
  </si>
  <si>
    <t>2511Кп/4</t>
  </si>
  <si>
    <t>Лоток 2,5 л "СОЧНАЯ КЛУБНИКА" (280х200х55 мм.) пластик.крышка</t>
  </si>
  <si>
    <t>НАБОРЫ ПОСУДЫ</t>
  </si>
  <si>
    <t>001/4Э</t>
  </si>
  <si>
    <t>Набор № 001 "Анютины глазки" кастр. цилиндр.(1,45 л.; 2,9 л.; 4,3 л.)</t>
  </si>
  <si>
    <t>Набор № 001 "Ласковый май" кастр. цилиндр.(1,45 л.; 2,9 л.; 4,3 л.)</t>
  </si>
  <si>
    <t>001/КмЭ</t>
  </si>
  <si>
    <t>Набор № 001 "Ретро"/Кремовый</t>
  </si>
  <si>
    <t>Набор № 001 "Urban flower"</t>
  </si>
  <si>
    <t>2840П2/Рб</t>
  </si>
  <si>
    <t>Бак 40,0 л без рис. 2840П2/Рб</t>
  </si>
  <si>
    <t>16072/4Э</t>
  </si>
  <si>
    <t>Кастрюля цилиндрич 1,45 л "Анютины глазки")</t>
  </si>
  <si>
    <t>Кастрюля цилиндрич 1,45 л "Ласковый май")</t>
  </si>
  <si>
    <t>Кастрюля цилиндрич 1,45 л "Летний этюд")</t>
  </si>
  <si>
    <t>Кастрюля цилиндрич 1,45 л "Сочная клубника")</t>
  </si>
  <si>
    <t>Кастрюля цилиндрич 1,45 л "Фруктовая фантазия")</t>
  </si>
  <si>
    <t>Кастрюля цилиндрич 1,45 л "Artichoke"</t>
  </si>
  <si>
    <t>Кастрюля цилиндрич 1,45 л "Corn"</t>
  </si>
  <si>
    <t>Кастрюля цилиндрич 1,45 л "Urban flower"</t>
  </si>
  <si>
    <t>16111/4Э</t>
  </si>
  <si>
    <t>Кастрюля цилиндрич 2,9 л "Ласковый май")</t>
  </si>
  <si>
    <t>Кастрюля цилиндрич 2,9 л "Летний этюд")</t>
  </si>
  <si>
    <t>Кастрюля цилиндрич 2,9 л "Фруктовая фантазия") эмаль</t>
  </si>
  <si>
    <t>Кастрюля цилиндрич 2,9 л "Artichoke"</t>
  </si>
  <si>
    <t>Кастрюля цилиндрич 2,9 л "Corn"</t>
  </si>
  <si>
    <t>Кастрюля цилиндрич 2,9 л "Urban flower"</t>
  </si>
  <si>
    <t>16141/4Э</t>
  </si>
  <si>
    <t>Кастрюля цилиндрич 4,3 л "Ласковый май")</t>
  </si>
  <si>
    <t>Кастрюля цилиндрич 4,3 л "Летний этюд")</t>
  </si>
  <si>
    <t>Кастрюля цилиндрич 4,3 л "Фруктовая фантазия")</t>
  </si>
  <si>
    <t>Кастрюля цилиндрич 4,3 л "Artichoke"</t>
  </si>
  <si>
    <t>Кастрюля цилиндрич 4,3 л "Corn"</t>
  </si>
  <si>
    <t>Кастрюля цилиндрич 4,3 л "Urban flower"</t>
  </si>
  <si>
    <t>2008/4Рб</t>
  </si>
  <si>
    <t>Ковш 1,5 л "Анютины глазки",с рис</t>
  </si>
  <si>
    <t>Ковш 1,5 л "Ласковый май",с рис</t>
  </si>
  <si>
    <t>2008/4, Рб, Жм</t>
  </si>
  <si>
    <t>Ковш 1,5 л "Сочная клубника",с рис</t>
  </si>
  <si>
    <t>2008/4, Рб</t>
  </si>
  <si>
    <t>Ковш 1,5 л "Фруктовая фантазия",с рис ,арт.2008/4, Рб</t>
  </si>
  <si>
    <t>2710/4,Рч</t>
  </si>
  <si>
    <t>Чайник 2,0 л "Artichoke"</t>
  </si>
  <si>
    <t>Чайник 2,0 л "Urban flower"</t>
  </si>
  <si>
    <t>2713 П2/4,Рч (10 деколей)</t>
  </si>
  <si>
    <t>Чайник 3,5 л "1-я СБОРНАЯ", (Рисунок 10 Деколей)</t>
  </si>
  <si>
    <t>2713/4,Рч</t>
  </si>
  <si>
    <t>Чайник 3,5 л "Artichoke"</t>
  </si>
  <si>
    <t>Чайник 3,5 л "Urban flower"</t>
  </si>
  <si>
    <t>1224Ц/Рк</t>
  </si>
  <si>
    <t>Ведро 12 л без рис. цилиндрич. с крышкой</t>
  </si>
  <si>
    <t>1224/4,Рб</t>
  </si>
  <si>
    <t>Ведро 12л "Сочная клубника" конусн. с крышкой</t>
  </si>
  <si>
    <t>01-1024/4</t>
  </si>
  <si>
    <t>Ведро без крышки 12л, с рис ,цилиндрич.01-1024/4</t>
  </si>
  <si>
    <t>3024 -Рб,ЭК</t>
  </si>
  <si>
    <t>Таз 12,0 л без рис</t>
  </si>
  <si>
    <t>ММК Эмаль</t>
  </si>
  <si>
    <t>01-0908</t>
  </si>
  <si>
    <t>Горшок ночной 1,5л,без рис. 01-0908</t>
  </si>
  <si>
    <t>01-0912</t>
  </si>
  <si>
    <t>Горшок ночной 3л, без рис., h=12.5см 0912</t>
  </si>
  <si>
    <t>01-2507п</t>
  </si>
  <si>
    <t>Лоток 1л с пластмассовой крышкой ,без рис (175х175х65мм) 01-2507п</t>
  </si>
  <si>
    <t>01-2507п/4</t>
  </si>
  <si>
    <t>Лоток 1л с пластмассовой крышкой ,с рис (175х175х65мм) 01-2507п/4</t>
  </si>
  <si>
    <t>10-323</t>
  </si>
  <si>
    <t>Набор "Зефир" (кастр.сферич.2л 3л 4л) розовый, голубой, салатовый (в различной комплектации)10-323</t>
  </si>
  <si>
    <t>2-3127/4</t>
  </si>
  <si>
    <t>Набор "Крокусы"- ( к.цил.2л 3л 4л-белый) 2-3127/4</t>
  </si>
  <si>
    <t>2-207/4</t>
  </si>
  <si>
    <t>Набор "Хурма" белый 2-207/4</t>
  </si>
  <si>
    <t>2-208/4</t>
  </si>
  <si>
    <t>Набор "Хурма" белый 2-208/4</t>
  </si>
  <si>
    <t>2-3214/4</t>
  </si>
  <si>
    <t>Набор "Organic" белый 2-3214/4</t>
  </si>
  <si>
    <t>р-2829</t>
  </si>
  <si>
    <t>Бак 32л, р-2829 без рис. диаметр 40см, высота 28см</t>
  </si>
  <si>
    <t>01-1608</t>
  </si>
  <si>
    <t>Кастрюля 1,5л без рис. 01-1608</t>
  </si>
  <si>
    <t>01-1608/4</t>
  </si>
  <si>
    <t>Кастрюля 1,5л с рис. 01-1608/4</t>
  </si>
  <si>
    <t>20,21-1623</t>
  </si>
  <si>
    <t>Кастрюля 11,5л, без рис 20,21-1623</t>
  </si>
  <si>
    <t>01,02,20,21-1623/4</t>
  </si>
  <si>
    <t>Кастрюля 11,5л, с рис. 01,02,20,21-1623/4</t>
  </si>
  <si>
    <t>01-1607</t>
  </si>
  <si>
    <t>Кастрюля 1л, 01-1607 без рис</t>
  </si>
  <si>
    <t>01-1610.1</t>
  </si>
  <si>
    <t>Кастрюля 2л, без рис 01-1610.1</t>
  </si>
  <si>
    <t>01-1610.1/4</t>
  </si>
  <si>
    <t>Кастрюля 2л, с рис 01-1610.1/4</t>
  </si>
  <si>
    <t>01-1612</t>
  </si>
  <si>
    <t>Кастрюля 3,0 л, без рис эмаль 01-1612</t>
  </si>
  <si>
    <t>01,02-1615</t>
  </si>
  <si>
    <t>Кастрюля 4,5л, без рис. 01,02-1615</t>
  </si>
  <si>
    <t>01-1615/4</t>
  </si>
  <si>
    <t>Кастрюля 4,5л, с рис 01-1615/4</t>
  </si>
  <si>
    <t>01-Б1614/4</t>
  </si>
  <si>
    <t>Кастрюля 4л, с рисунком 01-Б1614/4</t>
  </si>
  <si>
    <t>01,02.03,20-1620/4</t>
  </si>
  <si>
    <t>Кастрюля 7,5л, с рисунком 01,02.03,20-1620/4</t>
  </si>
  <si>
    <t>20-1620</t>
  </si>
  <si>
    <t>Кастрюля 8,5л, без рис 20-1620</t>
  </si>
  <si>
    <t>20-1620/4</t>
  </si>
  <si>
    <t>Кастрюля 8,5л, с рис 20-1620/4</t>
  </si>
  <si>
    <t>01-1621</t>
  </si>
  <si>
    <t>Кастрюля 9,0л, без рис 01-1621</t>
  </si>
  <si>
    <t>01,20-2008</t>
  </si>
  <si>
    <t>Ковш 1,5л, без рис 01,20-2008</t>
  </si>
  <si>
    <t>01,02,03,20-2008/4</t>
  </si>
  <si>
    <t>Ковш 1,5л, с рис 01,02,03,20-2008/4</t>
  </si>
  <si>
    <t>01-2110</t>
  </si>
  <si>
    <t>Кофейник 2,0л без рис 01-2110</t>
  </si>
  <si>
    <t>01-2708</t>
  </si>
  <si>
    <t>Чайник 1,5л, 01,06-2708 ,без рис</t>
  </si>
  <si>
    <t>06р-2710/9</t>
  </si>
  <si>
    <t>Чайник 2,0л, 06р-2710/9 с рис,рябчик внутри</t>
  </si>
  <si>
    <t>01-2711</t>
  </si>
  <si>
    <t>Чайник 2,5л, 01-2711,без рис</t>
  </si>
  <si>
    <t>01-2711/4-Organic</t>
  </si>
  <si>
    <t>Чайник 2,5л, 01-2711/4-Organic</t>
  </si>
  <si>
    <t>01-2711/4</t>
  </si>
  <si>
    <t>Чайник 2,5л, 01-2711/4, с рис</t>
  </si>
  <si>
    <t>01,01р-2711/4</t>
  </si>
  <si>
    <t>Чайник 2,5л, 01,01р-2711/4 с рис</t>
  </si>
  <si>
    <t>01-2713/4-Арбуз</t>
  </si>
  <si>
    <t>Чайник 3,5л, 01-2713/4-Арбуз</t>
  </si>
  <si>
    <t>01-2713/4-Ариадна</t>
  </si>
  <si>
    <t>Чайник 3,5л, 01-2713/4-Ариадна</t>
  </si>
  <si>
    <t>01-2713/4-Варенье</t>
  </si>
  <si>
    <t>Чайник 3,5л, 01-2713/4-Варенье</t>
  </si>
  <si>
    <t>01-2713/4-Веган</t>
  </si>
  <si>
    <t>Чайник 3,5л, 01-2713/4-Веган</t>
  </si>
  <si>
    <t>01-2713/4-Гранаты</t>
  </si>
  <si>
    <t>Чайник 3,5л, 01-2713/4-Гранаты</t>
  </si>
  <si>
    <t>01-2713/4-Иогурт-Г</t>
  </si>
  <si>
    <t>Чайник 3,5л, 01-2713/4-Иогурт-Г</t>
  </si>
  <si>
    <t>01-2713/4-Клубника-Д</t>
  </si>
  <si>
    <t>Чайник 3,5л, 01-2713/4-Клубника-Д</t>
  </si>
  <si>
    <t>01-2713/4-Клуб поляна-Г</t>
  </si>
  <si>
    <t>Чайник 3,5л, 01-2713/4-Клубничная поляна-Г</t>
  </si>
  <si>
    <t>01-2713/4-Коты</t>
  </si>
  <si>
    <t>Чайник 3,5л, 01-2713/4-Коты</t>
  </si>
  <si>
    <t>01-2713/4-Лаванда-Г</t>
  </si>
  <si>
    <t>Чайник 3,5л, 01-2713/4-Лаванда-Г</t>
  </si>
  <si>
    <t>01-2713/4-Лимоны</t>
  </si>
  <si>
    <t>Чайник 3,5л, 01-2713/4-Лимоны</t>
  </si>
  <si>
    <t>01-2713/4-Луговой мак</t>
  </si>
  <si>
    <t>Чайник 3,5л, 01-2713/4-Луговой мак</t>
  </si>
  <si>
    <t>01-2713/4-Малина</t>
  </si>
  <si>
    <t>Чайник 3,5л, 01-2713/4-Малина</t>
  </si>
  <si>
    <t>01-2713/4-Морской</t>
  </si>
  <si>
    <t>Чайник 3,5л, 01-2713/4-Морской</t>
  </si>
  <si>
    <t>01-2713/4-Персики</t>
  </si>
  <si>
    <t>Чайник 3,5л, 01-2713/4-Персики</t>
  </si>
  <si>
    <t>01-2713/4-Пион-М</t>
  </si>
  <si>
    <t>Чайник 3,5л, 01-2713/4-Пион-М</t>
  </si>
  <si>
    <t>01-2713/4-Подсолнухи</t>
  </si>
  <si>
    <t>Чайник 3,5л, 01-2713/4-Подсолнухи</t>
  </si>
  <si>
    <t>01-2713/4-Свежесть</t>
  </si>
  <si>
    <t>Чайник 3,5л, 01-2713/4-Свежесть</t>
  </si>
  <si>
    <t>01-2713/4-Смородина</t>
  </si>
  <si>
    <t>Чайник 3,5л, 01-2713/4-Смородина</t>
  </si>
  <si>
    <t>01-2713/4-Тюльпаны</t>
  </si>
  <si>
    <t>Чайник 3,5л, 01-2713/4-Тюльпаны</t>
  </si>
  <si>
    <t>01-2713/4-Цветочки</t>
  </si>
  <si>
    <t>Чайник 3,5л, 01-2713/4-Цветочки</t>
  </si>
  <si>
    <t>01-2713/4-Kitchen</t>
  </si>
  <si>
    <t>Чайник 3,5л, 01-2713/4-Kitchen</t>
  </si>
  <si>
    <t>01-2713/4-Organic</t>
  </si>
  <si>
    <t>Чайник 3,5л, 01-2713/4-Organic</t>
  </si>
  <si>
    <t>01-0810 А/7,А1/7,А6/7</t>
  </si>
  <si>
    <t>Блюдо 2л, с рис. 01-0810 А/7,А1/7,А6/7</t>
  </si>
  <si>
    <t>01-0812/4</t>
  </si>
  <si>
    <t>Блюдо 3л, с рис 01-0812/4</t>
  </si>
  <si>
    <t>01-0812/7</t>
  </si>
  <si>
    <t>Блюдо 3л, с рис 01-0812/7</t>
  </si>
  <si>
    <t>09,17-0102ч</t>
  </si>
  <si>
    <t>Кружка 0,25л , 09,17-0102ч</t>
  </si>
  <si>
    <t>06-0103, 06-0103ч</t>
  </si>
  <si>
    <t>Кружка 0,4л, бордовая глянцевая без рис 06-0103</t>
  </si>
  <si>
    <t>19-0103ч, 19-0103нч</t>
  </si>
  <si>
    <t>Кружка 0,4л, зеленая глянцевая без рис 19-0103ч</t>
  </si>
  <si>
    <t>23-0103ч</t>
  </si>
  <si>
    <t>Кружка 0,4л, кобальтовая глянцевая без рис 23-0103ч</t>
  </si>
  <si>
    <t>17-0103, 17-0103ч</t>
  </si>
  <si>
    <t>Кружка 0,4л, розовая глянцевая без рис 17-0103</t>
  </si>
  <si>
    <t>24-0103, 24-0103ч</t>
  </si>
  <si>
    <t>Кружка 0,4л, синяя глянцевая без рис 24-0103</t>
  </si>
  <si>
    <t>12-0103нч, 12-0103ч</t>
  </si>
  <si>
    <t>Кружка 0,4л, сливочная глянцевая без рис 12-0103нч</t>
  </si>
  <si>
    <t>10-0103ч</t>
  </si>
  <si>
    <t>Кружка 0,4л, черная глянцевая без рис 10-0103ч</t>
  </si>
  <si>
    <t>01,12-0110</t>
  </si>
  <si>
    <t>Кувшин 2л, эмаль,без рис. 01,12-0110</t>
  </si>
  <si>
    <t>01-0110/4</t>
  </si>
  <si>
    <t>Кувшин 2л, эмаль,с рис.01-0110/4</t>
  </si>
  <si>
    <t>20-0305</t>
  </si>
  <si>
    <t>Миска 0,6л, без рис 20-0305</t>
  </si>
  <si>
    <t>01-0311</t>
  </si>
  <si>
    <t>Миска 2,5л, без рис. 01-0311</t>
  </si>
  <si>
    <t>01-0311/4</t>
  </si>
  <si>
    <t>Миска 2,5л, с рис 01-0311/4</t>
  </si>
  <si>
    <t>20,21-0310</t>
  </si>
  <si>
    <t>Миска 2л,без рис, 20,21-0310</t>
  </si>
  <si>
    <t>01,02,20-0310/4</t>
  </si>
  <si>
    <t>Миска 2л,с рис 01,02,20-0310/4</t>
  </si>
  <si>
    <t>20-0314</t>
  </si>
  <si>
    <t>Миска 4л, без рис 20-0314</t>
  </si>
  <si>
    <t>01-0307К/4</t>
  </si>
  <si>
    <t>Миска квадратная 1,0л,с рис 01-0307К/4</t>
  </si>
  <si>
    <t>01-0403</t>
  </si>
  <si>
    <t>Тарелка 0,5л, эмаль без рис. 01-0403</t>
  </si>
  <si>
    <t>01,20-1024</t>
  </si>
  <si>
    <t>Ведро без крышки 12л, без рис,цилиндрич.20-1024</t>
  </si>
  <si>
    <t>20-1224</t>
  </si>
  <si>
    <t>Ведро с крышкой 12л, без рис,цилиндрич.эмаль 20-1224</t>
  </si>
  <si>
    <t>20-1224/4</t>
  </si>
  <si>
    <t>Ведро с крышкой 12л, с рис,цилиндрич. 20-1224/4</t>
  </si>
  <si>
    <t>01,02,03-3026/4</t>
  </si>
  <si>
    <t>Таз 16л- с рис.02-3026/4</t>
  </si>
  <si>
    <t>02,20-3028</t>
  </si>
  <si>
    <t>Таз 20л, без рис 02,20-3028</t>
  </si>
  <si>
    <t>01,02-3028/4</t>
  </si>
  <si>
    <t>Таз 20л, с рис 01,02-3028/4</t>
  </si>
  <si>
    <t>НЕМАН</t>
  </si>
  <si>
    <t>29009</t>
  </si>
  <si>
    <t>10838 Ваза д.цветов "Метель", 2 вел, Цветная пудра Арт 29009</t>
  </si>
  <si>
    <t>29010</t>
  </si>
  <si>
    <t>10838 Ваза д.цветов "Метель", 3 вел, Цветная пудра Арт 29010</t>
  </si>
  <si>
    <t>30293</t>
  </si>
  <si>
    <t>10962 Ваза декоративная "Краски осени", 1 вел, Цветная пудра Арт 30293</t>
  </si>
  <si>
    <t>30294</t>
  </si>
  <si>
    <t>10962 Ваза декоративная "Краски осени", 2 вел, Цветная пудра Арт 30294</t>
  </si>
  <si>
    <t>34156</t>
  </si>
  <si>
    <t>11517 Декор.ваза д.цветов "Феникс" (розовая), 1 вел Арт 34156</t>
  </si>
  <si>
    <t>34157</t>
  </si>
  <si>
    <t>11517 Декор.ваза д.цветов "Феникс" (розовая), 2 вел Арт 34157</t>
  </si>
  <si>
    <t>24181</t>
  </si>
  <si>
    <t>5595 Ваза-шар д.220 кос.ср, -, 100/1-гладь,хол.отр. Арт 24181</t>
  </si>
  <si>
    <t>23826</t>
  </si>
  <si>
    <t>6401 Ваза-шар д.140 кос.ср, -, 100/1-гладь,хол.отр. Арт 23826</t>
  </si>
  <si>
    <t>24813</t>
  </si>
  <si>
    <t>8927 Ваза д.цветов в.260 "Ирис", -, Цветная пудра Арт 24813</t>
  </si>
  <si>
    <t>32162</t>
  </si>
  <si>
    <t>11025 Набор стаканов д.виски, 200 г, (набор из 6 шт) 900/281 Арт 32162</t>
  </si>
  <si>
    <t>37596</t>
  </si>
  <si>
    <t>11376 Набор стаканов д.виски, 200 г, 100/2 гладь, гор.отрезка Арт 37596</t>
  </si>
  <si>
    <t>36867</t>
  </si>
  <si>
    <t>11485 Набор рюмок "Арктика" 130г 100/12 Арт 36867</t>
  </si>
  <si>
    <t>35306</t>
  </si>
  <si>
    <t>11485 Набор фужеров "Арктика", 150 г, 100/12 Арт 35306</t>
  </si>
  <si>
    <t>39176</t>
  </si>
  <si>
    <t>11485 Набор фужеров "Арктика", 200 г, 100/12 Арт 39176</t>
  </si>
  <si>
    <t>40489</t>
  </si>
  <si>
    <t>11603 Набор стаканов д.коктейля уп."Др-С", 350 г, 100/2 гладь, гор.отрезка Арт 40489</t>
  </si>
  <si>
    <t>41006</t>
  </si>
  <si>
    <t>11807 Набор фужеров д.красного вина, 350 г, 100/2 гладь, гор.отрезка Арт 41006</t>
  </si>
  <si>
    <t>40848/1</t>
  </si>
  <si>
    <t>11807/1 Шампанка - 100/2 гладь, гор.отрезка Арт 40848/1</t>
  </si>
  <si>
    <t>41561</t>
  </si>
  <si>
    <t>12100 Набор бокалов д.шампанского (2 шт), 250 г, 100/2 гладь, гор.отрезка Арт 41561</t>
  </si>
  <si>
    <t>41168</t>
  </si>
  <si>
    <t>12100 Набор фужеров д.красного вина (2шт), 500 г, 100/2, гладь, гор. отр. Арт 41168</t>
  </si>
  <si>
    <t>16625</t>
  </si>
  <si>
    <t>8560 Набор бокалов д.шампанского 180 г, 100/2 гладь, гор.отр Арт 16625</t>
  </si>
  <si>
    <t>14899</t>
  </si>
  <si>
    <t>8560 Набор стаканов д.коктейля, 380 г 100/2 гладь,гор.отрезка Арт 14899</t>
  </si>
  <si>
    <t>43367</t>
  </si>
  <si>
    <t>8560 Набор фужеров д.белого вина, 250 г, 100/2 гладь, гор.отрезка Арт 43367</t>
  </si>
  <si>
    <t>16637</t>
  </si>
  <si>
    <t>8560 Набор фужеров д.бургундского вина, 380 г, 100/2 гладь, гор.отр Арт 16637</t>
  </si>
  <si>
    <t>Россия</t>
  </si>
  <si>
    <t>ТФ2</t>
  </si>
  <si>
    <t>Тележка для перевозки фляг усил. 40л грузоп.50кг каркас из стал. трубы 22мм,колесо резина D165 мм</t>
  </si>
  <si>
    <t>ТБ</t>
  </si>
  <si>
    <t>ТФ1</t>
  </si>
  <si>
    <t>Тележка для фляг, грузоподъемность 50кг</t>
  </si>
  <si>
    <t>KC*GTL16110</t>
  </si>
  <si>
    <t>Крышка стеклянная d16см "JARKO",с паровыпускным клапаном, с мет ободком</t>
  </si>
  <si>
    <t>KC*GTL18110</t>
  </si>
  <si>
    <t>Крышка стеклянная d18см "JARKO",с паровыпускным клапаном, с мет ободком</t>
  </si>
  <si>
    <t>KC*GTL20110</t>
  </si>
  <si>
    <t>Крышка стеклянная d20см "JARKO",с паровыпускным клапаном, с мет ободком</t>
  </si>
  <si>
    <t>KC*GTL22110</t>
  </si>
  <si>
    <t>Крышка стеклянная d22см "JARKO",с паровыпускным клапаном, с мет ободком</t>
  </si>
  <si>
    <t>KC*GTL24110</t>
  </si>
  <si>
    <t>Крышка стеклянная d24см "JARKO",с паровыпускным клапаном, с мет ободком</t>
  </si>
  <si>
    <t>KC*GTL26110</t>
  </si>
  <si>
    <t>Крышка стеклянная d26см "JARKO",с паровыпускным клапаном, с мет ободком</t>
  </si>
  <si>
    <t>KC*GTL28110</t>
  </si>
  <si>
    <t>Крышка стеклянная d28см "JARKO",с паровыпускным клапаном, с мет ободком</t>
  </si>
  <si>
    <t>KC*GTL30110</t>
  </si>
  <si>
    <t>Крышка стеклянная d30см "JARKO",с паровыпускным клапаном, с мет ободком</t>
  </si>
  <si>
    <t>UGGKR32126</t>
  </si>
  <si>
    <t>Сковорода Vari ГРИЛЬ 26см круглая.антиприг.покр,ручка soft-touch,без крышки</t>
  </si>
  <si>
    <t>СВЕЧИ ДЕКОРИРОВАННЫЕ</t>
  </si>
  <si>
    <t>64-0202-08-НБ</t>
  </si>
  <si>
    <t>Набор из 3х белых свечей МЕЛТ Столбик 10х7.5 в под. кор</t>
  </si>
  <si>
    <t>64-0203-09-НБ</t>
  </si>
  <si>
    <t>Набор из 3х белых свечей МЕЛТ Столбик 15х7.5 в под. кор</t>
  </si>
  <si>
    <t>64-0203-19-НБ</t>
  </si>
  <si>
    <t>Набор из 3х свечей бургундия МЕЛТ Столбик 15х7.5 в под. кор</t>
  </si>
  <si>
    <t>36-0616-22-НБ</t>
  </si>
  <si>
    <t>Набор из 3х серых свечей МЕЛТ КРУГЛЫЕ,d=7,5 в под. кор</t>
  </si>
  <si>
    <t>36-0616-29-НБ</t>
  </si>
  <si>
    <t>Набор из 3х темно-зеленых свечей МЕЛТ КРУГЛЫЕ,d=7,5 в под. кор</t>
  </si>
  <si>
    <t>64-0203-16-НБ</t>
  </si>
  <si>
    <t>Набор из 3х темно-зеленых свечей МЕЛТ Столбик,15х7.5 в под. кор</t>
  </si>
  <si>
    <t>64-0202-10-НБ</t>
  </si>
  <si>
    <t>Набор из 3х темно-серых свечей МЕЛТ Столбик,10х7.5 в под. кор</t>
  </si>
  <si>
    <t>54502 SLB/925914</t>
  </si>
  <si>
    <t>Подсвечник 100 мм</t>
  </si>
  <si>
    <t>36-0616-51</t>
  </si>
  <si>
    <t>Свеча декоративная парафиновая цвет - крупное серебро, КРУГЛАЯ, размер d=7,5см;арт.36-0616-51</t>
  </si>
  <si>
    <t>36-0616-48</t>
  </si>
  <si>
    <t>Свеча декоративная парафиновая цвет - крупное серебро, размер 7,5x10 см;арт.36-0616-48</t>
  </si>
  <si>
    <t>36-0616-49</t>
  </si>
  <si>
    <t>Свеча декоративная парафиновая цвет - крупное серебро, размер 7,5x15 см;арт.36-0616-49</t>
  </si>
  <si>
    <t>36-0616-50</t>
  </si>
  <si>
    <t>Свеча декоративная парафиновая цвет - крупное серебро, размер 7,5x20 см;арт.36-0616-50</t>
  </si>
  <si>
    <t>36-0616-47</t>
  </si>
  <si>
    <t>Свеча декоративная парафиновая цвет - крупное серебро, размер 7,5x7,5 см;арт.36-0616-47</t>
  </si>
  <si>
    <t>ВНП25</t>
  </si>
  <si>
    <t>Вешалка напольная разборная (Чёрный) (арт. ВНП25)</t>
  </si>
  <si>
    <t>ВНС32</t>
  </si>
  <si>
    <t>Вешалка настенная "Стандарт 3" 3 крючка (Черный) (</t>
  </si>
  <si>
    <t>СНП 1.6</t>
  </si>
  <si>
    <t>Сушилка для белья настенно - потолочная 8м СНП 1.6 (белая)</t>
  </si>
  <si>
    <t>СНП 1.8</t>
  </si>
  <si>
    <t>Сушилка для белья настенно - потолочная 9м СНП 1.8 (белая)</t>
  </si>
  <si>
    <t>СКОВО</t>
  </si>
  <si>
    <t>МТ-057</t>
  </si>
  <si>
    <t>Дуршлаг 260мм 2,5л алюминий</t>
  </si>
  <si>
    <t>МТ-033</t>
  </si>
  <si>
    <t>Ложка-шумовка</t>
  </si>
  <si>
    <t>МТ-109</t>
  </si>
  <si>
    <t>Разливательная кружка 1л, мерная.алюминий</t>
  </si>
  <si>
    <t>МТ-034</t>
  </si>
  <si>
    <t>Разливательная ложка 250 мл</t>
  </si>
  <si>
    <t>ТП-007</t>
  </si>
  <si>
    <t>Совок алюминиевый 0,8л,для сыпучих продуктов</t>
  </si>
  <si>
    <t>МТ-047</t>
  </si>
  <si>
    <t>Шумовка</t>
  </si>
  <si>
    <t>МШ-018</t>
  </si>
  <si>
    <t>Манты-казан 15 л 4 диска, 34см ,Алюминий</t>
  </si>
  <si>
    <t>МТ-040</t>
  </si>
  <si>
    <t>Манты-казан алюминиевый 6л. 4 секции,диаметр26см</t>
  </si>
  <si>
    <t>МТ-112</t>
  </si>
  <si>
    <t>Манты-казан алюминиевый 6л. 4 сетки</t>
  </si>
  <si>
    <t>МТ-063</t>
  </si>
  <si>
    <t>Кастрюля 0,5 л 1 р. мет/к (ковш)</t>
  </si>
  <si>
    <t>МТ-085</t>
  </si>
  <si>
    <t>Кастрюля 10 л цил. алюминий</t>
  </si>
  <si>
    <t>МШ-019</t>
  </si>
  <si>
    <t>Кастрюля 13 л сферическая.алюминий</t>
  </si>
  <si>
    <t>МТ-004</t>
  </si>
  <si>
    <t>Кастрюля 2,5 л цил. алюмин</t>
  </si>
  <si>
    <t>МТ-023</t>
  </si>
  <si>
    <t>Кастрюля 3,5 л цил. алюмин</t>
  </si>
  <si>
    <t>МТ-072</t>
  </si>
  <si>
    <t>Кастрюля 4,5 л цил. алюмин</t>
  </si>
  <si>
    <t>МТ-084</t>
  </si>
  <si>
    <t>Кастрюля 8 л цилиндрич.Алюминий</t>
  </si>
  <si>
    <t>МТ-018</t>
  </si>
  <si>
    <t>Ковш 1,2 л Алюминий</t>
  </si>
  <si>
    <t>МШ-014</t>
  </si>
  <si>
    <t>Котел 20 л Алюминий</t>
  </si>
  <si>
    <t>МШ-011</t>
  </si>
  <si>
    <t>Котел 30 л Алюминий</t>
  </si>
  <si>
    <t>МШ-012</t>
  </si>
  <si>
    <t>Котел 40 л алюминий</t>
  </si>
  <si>
    <t>МШ-013</t>
  </si>
  <si>
    <t>Котел 50 л Алюминий</t>
  </si>
  <si>
    <t>МШ-008</t>
  </si>
  <si>
    <t>Поддон 540х340х70 мм</t>
  </si>
  <si>
    <t>МШ-009</t>
  </si>
  <si>
    <t>Поддон 630х430х35 мм</t>
  </si>
  <si>
    <t>МШ-015</t>
  </si>
  <si>
    <t>Поддон с крышкой 540х340х70 мм</t>
  </si>
  <si>
    <t>RC-007</t>
  </si>
  <si>
    <t>Сковорода "Консул"d 200 ст.кр</t>
  </si>
  <si>
    <t>RC-008</t>
  </si>
  <si>
    <t>Сковорода "Консул"d 220 ст.кр</t>
  </si>
  <si>
    <t>RC-009</t>
  </si>
  <si>
    <t>Сковорода "Консул"d 240 ст.кр</t>
  </si>
  <si>
    <t>RC-010</t>
  </si>
  <si>
    <t>Сковорода "Консул"d 260 ст.кр</t>
  </si>
  <si>
    <t>RC-011</t>
  </si>
  <si>
    <t>Сковорода "Консул"d 280 ст.кр</t>
  </si>
  <si>
    <t>SP-015</t>
  </si>
  <si>
    <t>Сотейник d 240</t>
  </si>
  <si>
    <t>МТ-022</t>
  </si>
  <si>
    <t>Вилка столовая алюминий</t>
  </si>
  <si>
    <t>МТ-090</t>
  </si>
  <si>
    <t>Кружка питьевая 0,5 л,алюмин</t>
  </si>
  <si>
    <t>МТ-021</t>
  </si>
  <si>
    <t>Ложка столовая ,алюмин</t>
  </si>
  <si>
    <t>МТ-006</t>
  </si>
  <si>
    <t>Ложка чайная алюминий</t>
  </si>
  <si>
    <t>МТ-068</t>
  </si>
  <si>
    <t>Миска d 180 мм,0,75л</t>
  </si>
  <si>
    <t>МТ-036</t>
  </si>
  <si>
    <t>Миска d 360 мм,10л</t>
  </si>
  <si>
    <t>МТ-037</t>
  </si>
  <si>
    <t>Миска d 360 мм,10л,мет/к</t>
  </si>
  <si>
    <t>МТ-080</t>
  </si>
  <si>
    <t>Бидон 10 л.,алюминиевый</t>
  </si>
  <si>
    <t>МТ-030</t>
  </si>
  <si>
    <t>Канистра 10 л алюминиев</t>
  </si>
  <si>
    <t>Эльфпласт</t>
  </si>
  <si>
    <t>ЭЛФ085</t>
  </si>
  <si>
    <t>Ванна детская "Макси",цвета в ассортименте</t>
  </si>
  <si>
    <t>ЭЛФ033</t>
  </si>
  <si>
    <t>Ванна детская цвета в ассортименте</t>
  </si>
  <si>
    <t>ЭЛФ505</t>
  </si>
  <si>
    <t>Вантуз "Ариель"</t>
  </si>
  <si>
    <t>ЭЛФ539</t>
  </si>
  <si>
    <t>Вантуз "Pump"</t>
  </si>
  <si>
    <t>ЭЛФ585</t>
  </si>
  <si>
    <t>Горка для купания "Splash"цвета в ассортименте</t>
  </si>
  <si>
    <t>ЭЛФ041</t>
  </si>
  <si>
    <t>Горка для купания детская (540х265х215) цвета в ассортименте</t>
  </si>
  <si>
    <t>ЭЛФ066</t>
  </si>
  <si>
    <t>Горшок "Гномик" 285х290х205 цвета в ассортименте</t>
  </si>
  <si>
    <t>ЭЛФ069</t>
  </si>
  <si>
    <t>Горшок "Малышок" (310х240х210) цвета в ассортименте</t>
  </si>
  <si>
    <t>ЭЛФ392</t>
  </si>
  <si>
    <t>Горшок детский "Кроха" с крышкой и декором (Ø215х150)</t>
  </si>
  <si>
    <t>ЭЛФ387</t>
  </si>
  <si>
    <t>Горшок детский "Кроха" с крышкой,цвета в ассортименте (Ø215х150)</t>
  </si>
  <si>
    <t>ЭЛФ316</t>
  </si>
  <si>
    <t>Горшок детский "Junior" 365х335х310 цвета в ассортименте</t>
  </si>
  <si>
    <t>ЭЛФ023</t>
  </si>
  <si>
    <t>Горшок-стульчик 315х295х345 цвета в ассортименте</t>
  </si>
  <si>
    <t>ЭЛФ353</t>
  </si>
  <si>
    <t>Ёрш "Классик"</t>
  </si>
  <si>
    <t>ЭЛФ354</t>
  </si>
  <si>
    <t>Ёрш "Станд</t>
  </si>
  <si>
    <t>ЭЛФ629</t>
  </si>
  <si>
    <t>Комплект для туалета "Виола" ёрш с подставкой</t>
  </si>
  <si>
    <t>ЭЛФ151</t>
  </si>
  <si>
    <t>Комплект для туалета "Классик" ёрш с подставкой Ø130х380</t>
  </si>
  <si>
    <t>ЭЛФ195</t>
  </si>
  <si>
    <t>Комплект для туалета "Корнер" ёрш с подставкой (угловой) 150х380х370</t>
  </si>
  <si>
    <t>ЭЛФ226</t>
  </si>
  <si>
    <t>Комплект для туалета "Лотос" ёрш с подставкой Ø143x400</t>
  </si>
  <si>
    <t>ЭЛФ150</t>
  </si>
  <si>
    <t>Комплект для туалета "Стандарт" ёрш с подставкой Ø150х380</t>
  </si>
  <si>
    <t>ЭЛФ341</t>
  </si>
  <si>
    <t>Комплект для туалета "Prestige"</t>
  </si>
  <si>
    <t>ЭЛФ485</t>
  </si>
  <si>
    <t>Мыльница "Лайт" (130*100*47)</t>
  </si>
  <si>
    <t>ЭЛФ189</t>
  </si>
  <si>
    <t>Мыльница настенная на присосках "Ориент"</t>
  </si>
  <si>
    <t>ЭЛФ190</t>
  </si>
  <si>
    <t>Мыльница с поддоном "Ориент"</t>
  </si>
  <si>
    <t>ЭЛФ384</t>
  </si>
  <si>
    <t>Накладка на унитаз</t>
  </si>
  <si>
    <t>ЭЛФ519</t>
  </si>
  <si>
    <t>Органайзер для ванной комнаты "Clear"</t>
  </si>
  <si>
    <t>ЭЛФ389</t>
  </si>
  <si>
    <t>Подставка детская</t>
  </si>
  <si>
    <t>ЭЛФ188</t>
  </si>
  <si>
    <t>Подставка для зубных щеток "Ориент"</t>
  </si>
  <si>
    <t>ЭЛФ165</t>
  </si>
  <si>
    <t>Полка угловая для ванной комнаты</t>
  </si>
  <si>
    <t>ЭЛФ094</t>
  </si>
  <si>
    <t>Бутербродница круглая 0,5 л</t>
  </si>
  <si>
    <t>ЭЛФ095</t>
  </si>
  <si>
    <t>Бутербродница круглая 1,0 л</t>
  </si>
  <si>
    <t>ЭЛФ096</t>
  </si>
  <si>
    <t>Бутербродница круглая 1,7 л</t>
  </si>
  <si>
    <t>ЭЛФ091</t>
  </si>
  <si>
    <t>Бутербродница прямоугольная 0,5 л</t>
  </si>
  <si>
    <t>ЭЛФ092</t>
  </si>
  <si>
    <t>Бутербродница прямоугольная 1 л</t>
  </si>
  <si>
    <t>ЭЛФ093</t>
  </si>
  <si>
    <t>Бутербродница прямоугольная 1,7 л</t>
  </si>
  <si>
    <t>ЭЛФ611</t>
  </si>
  <si>
    <t>Воронка большая 136x136x155 мм</t>
  </si>
  <si>
    <t>ЭЛФ610</t>
  </si>
  <si>
    <t>Воронка малая 100x100x115 мм</t>
  </si>
  <si>
    <t>ЭЛФ484</t>
  </si>
  <si>
    <t>Доска разделочная "Flexy" большая (345*245*3), цвета в ассортименте</t>
  </si>
  <si>
    <t>ЭЛФ598</t>
  </si>
  <si>
    <t>Доска разделочная "Lime" (345x240x8)</t>
  </si>
  <si>
    <t>ЭЛФ483</t>
  </si>
  <si>
    <t>Доска разделочная "Premium" пластик большая (403*210*7)</t>
  </si>
  <si>
    <t>ЭЛФ409</t>
  </si>
  <si>
    <t>Доска разделочная "Slim" большая (345х6х244)</t>
  </si>
  <si>
    <t>ЭЛФ408</t>
  </si>
  <si>
    <t>Доска разделочная "Slim" малая (285х4х187)</t>
  </si>
  <si>
    <t>ЭЛФ597</t>
  </si>
  <si>
    <t>Доска разделочная "Tomato" (315x305x8)</t>
  </si>
  <si>
    <t>ЭЛФ388</t>
  </si>
  <si>
    <t>Дуршлаг "Slim" плоский (270х345х41)</t>
  </si>
  <si>
    <t>ЭЛФ050</t>
  </si>
  <si>
    <t>Дуршлаг (Ø355х110)</t>
  </si>
  <si>
    <t>ЭЛФ362</t>
  </si>
  <si>
    <t>Дуршлаг для риса (282х223х156)</t>
  </si>
  <si>
    <t>ЭЛФ531</t>
  </si>
  <si>
    <t>Дуршлаг для риса малый</t>
  </si>
  <si>
    <t>ЭЛФ540</t>
  </si>
  <si>
    <t>Ёмкость "Practic" квадратная 1,6 л</t>
  </si>
  <si>
    <t>ЭЛФ541</t>
  </si>
  <si>
    <t>Ёмкость "Practic" квадратная 2,4 л</t>
  </si>
  <si>
    <t>ЭЛФ450</t>
  </si>
  <si>
    <t>Ёмкость "Practic" универсальная 1,0 л</t>
  </si>
  <si>
    <t>ЭЛФ537</t>
  </si>
  <si>
    <t>Ёмкость "Practic" универсальная 1,5 л</t>
  </si>
  <si>
    <t>ЭЛФ454</t>
  </si>
  <si>
    <t>Ёмкость "Practic" универсальная 10,0 л</t>
  </si>
  <si>
    <t>ЭЛФ451</t>
  </si>
  <si>
    <t>Ёмкость "Practic" универсальная 2 л</t>
  </si>
  <si>
    <t>ЭЛФ452</t>
  </si>
  <si>
    <t>Ёмкость "Practic" универсальная 3,0 л</t>
  </si>
  <si>
    <t>ЭЛФ453</t>
  </si>
  <si>
    <t>Ёмкость "Practic" универсальная 5,0 л</t>
  </si>
  <si>
    <t>ЭЛФ528</t>
  </si>
  <si>
    <t>Ёмкость для микроволновой печи 3,0 л с рисунком (260х108х109)</t>
  </si>
  <si>
    <t>ЭЛФ459</t>
  </si>
  <si>
    <t>Ёмкость для миксера (блендера) 2,2 л</t>
  </si>
  <si>
    <t>ЭЛФ563</t>
  </si>
  <si>
    <t>Ёмкость универсальная "Crystal" 0,5л</t>
  </si>
  <si>
    <t>ЭЛФ564</t>
  </si>
  <si>
    <t>Ёмкость универсальная "Crystal" 1л</t>
  </si>
  <si>
    <t>ЭЛФ161</t>
  </si>
  <si>
    <t>Контейнер "Хранитель свежести" 22 л (440x315x215)</t>
  </si>
  <si>
    <t>ЭЛФ410</t>
  </si>
  <si>
    <t>Контейнер "Alaska" 0,65 л</t>
  </si>
  <si>
    <t>ЭЛФ411</t>
  </si>
  <si>
    <t>Контейнер "Alaska" 1,1 л</t>
  </si>
  <si>
    <t>ЭЛФ490</t>
  </si>
  <si>
    <t>Контейнер "Alaska" 1,75 л</t>
  </si>
  <si>
    <t>ЭЛФ498</t>
  </si>
  <si>
    <t>Контейнер "Candy" №1 круглый Ø120*67</t>
  </si>
  <si>
    <t>ЭЛФ499</t>
  </si>
  <si>
    <t>Контейнер "Candy" №2 круглый Ø120*130</t>
  </si>
  <si>
    <t>ЭЛФ500</t>
  </si>
  <si>
    <t>Контейнер "Candy" №3 круглый Ø120*185</t>
  </si>
  <si>
    <t>ЭЛФ615</t>
  </si>
  <si>
    <t>Контейнер "Click&amp;Lock" 0,5 л 170x125x60</t>
  </si>
  <si>
    <t>ЭЛФ616</t>
  </si>
  <si>
    <t>Контейнер "Click&amp;Lock" 0,7 л 170x125x87</t>
  </si>
  <si>
    <t>ЭЛФ617</t>
  </si>
  <si>
    <t>Контейнер "Click&amp;Lock" 1 л 170x125x118</t>
  </si>
  <si>
    <t>ЭЛФ618</t>
  </si>
  <si>
    <t>Контейнер "Click&amp;Lock" 1,5 л 245x165x70</t>
  </si>
  <si>
    <t>ЭЛФ619</t>
  </si>
  <si>
    <t>Контейнер "Click&amp;Lock" 2 л 245x165x92</t>
  </si>
  <si>
    <t>ЭЛФ620</t>
  </si>
  <si>
    <t>Контейнер "Click&amp;Lock" 3 л 245x165x137</t>
  </si>
  <si>
    <t>ЭЛФ399</t>
  </si>
  <si>
    <t>Контейнер "Fresh Box" 0,35 л квадратный (120х60х107)</t>
  </si>
  <si>
    <t>ЭЛФ400</t>
  </si>
  <si>
    <t>Контейнер "Fresh Box" 0,55 л квадратный (120х90х107)</t>
  </si>
  <si>
    <t>ЭЛФ232</t>
  </si>
  <si>
    <t>Контейнер "Fresh Box" 1 л (170х110х98)</t>
  </si>
  <si>
    <t>ЭЛФ401</t>
  </si>
  <si>
    <t>Контейнер "Fresh Box" 1,2 л квадратный (103х157х143)</t>
  </si>
  <si>
    <t>ЭЛФ233</t>
  </si>
  <si>
    <t>Контейнер "Fresh Box" 1,5 л (215х145х100)</t>
  </si>
  <si>
    <t>ЭЛФ402</t>
  </si>
  <si>
    <t>Контейнер "Fresh Box" 1,8 л квадратный</t>
  </si>
  <si>
    <t>ЭЛФ407</t>
  </si>
  <si>
    <t>Контейнер "Fresh Box" 11 л квадратный (280х270х250)</t>
  </si>
  <si>
    <t>ЭЛФ237</t>
  </si>
  <si>
    <t>Контейнер "Fresh Box" 13 л (410х285х175)</t>
  </si>
  <si>
    <t>ЭЛФ403</t>
  </si>
  <si>
    <t>Контейнер "Fresh Box" 2,4 л квадратный (120х200х180)</t>
  </si>
  <si>
    <t>ЭЛФ234</t>
  </si>
  <si>
    <t>Контейнер "Fresh Box" 3 л (255х173х115)</t>
  </si>
  <si>
    <t>ЭЛФ404</t>
  </si>
  <si>
    <t>Контейнер "Fresh Box" 3,7 л квадратный (186х200х180)</t>
  </si>
  <si>
    <t>ЭЛФ235</t>
  </si>
  <si>
    <t>Контейнер "Fresh Box" 5 л (308х205х135)</t>
  </si>
  <si>
    <t>ЭЛФ405</t>
  </si>
  <si>
    <t>Контейнер "Fresh Box" 6 л квадратный (265х250х170)</t>
  </si>
  <si>
    <t>ЭЛФ236</t>
  </si>
  <si>
    <t>Контейнер "Fresh Box" 8 л (355х235х153)</t>
  </si>
  <si>
    <t>ЭЛФ406</t>
  </si>
  <si>
    <t>Контейнер "Fresh Box" 8,5 л квадратный (220х270х250)</t>
  </si>
  <si>
    <t>ЭЛФ238</t>
  </si>
  <si>
    <t>Контейнер "Fresh Box" slim 0,6 л (170х110х65)</t>
  </si>
  <si>
    <t>ЭЛФ239</t>
  </si>
  <si>
    <t>Контейнер "Fresh Box" slim 1,2 л (215х145х72)</t>
  </si>
  <si>
    <t>ЭЛФ243</t>
  </si>
  <si>
    <t>Контейнер "Fresh Box" slim 10 л (410х285х135)</t>
  </si>
  <si>
    <t>ЭЛФ240</t>
  </si>
  <si>
    <t>Контейнер "Fresh Box" slim 2 л (255х173х85)</t>
  </si>
  <si>
    <t>ЭЛФ241</t>
  </si>
  <si>
    <t>Контейнер "Fresh Box" slim 3,8 л (308х205х105)</t>
  </si>
  <si>
    <t>ЭЛФ242</t>
  </si>
  <si>
    <t>Контейнер "Fresh Box" slim 6 л (355х235х120)</t>
  </si>
  <si>
    <t>ЭЛФ493</t>
  </si>
  <si>
    <t>Контейнер "Grand" 2,5 л (376*150*67)</t>
  </si>
  <si>
    <t>ЭЛФ494</t>
  </si>
  <si>
    <t>Контейнер "Grand" 3,5 л (376*150*90)</t>
  </si>
  <si>
    <t>ЭЛФ544</t>
  </si>
  <si>
    <t>Контейнер "Grand" прямоугольный 0,5 л</t>
  </si>
  <si>
    <t>ЭЛФ545</t>
  </si>
  <si>
    <t>Контейнер "Grand" прямоугольный 0,8 л</t>
  </si>
  <si>
    <t>ЭЛФ546</t>
  </si>
  <si>
    <t>Контейнер "Grand" прямоугольный 1 л</t>
  </si>
  <si>
    <t>ЭЛФ548</t>
  </si>
  <si>
    <t>Контейнер "Grand" прямоугольный 1,2 л</t>
  </si>
  <si>
    <t>ЭЛФ549</t>
  </si>
  <si>
    <t>Контейнер "Grand" прямоугольный 1,8 л</t>
  </si>
  <si>
    <t>ЭЛФ671</t>
  </si>
  <si>
    <t>Контейнер "Practic" 5 л ()</t>
  </si>
  <si>
    <t>ЭЛФ390</t>
  </si>
  <si>
    <t>Контейнер "Prague" 0,4 л</t>
  </si>
  <si>
    <t>ЭЛФ391</t>
  </si>
  <si>
    <t>Контейнер "Prague" 0,7 л</t>
  </si>
  <si>
    <t>ЭЛФ482</t>
  </si>
  <si>
    <t>Контейнер "Prague" 1,25 л</t>
  </si>
  <si>
    <t>ЭЛФ673</t>
  </si>
  <si>
    <t>Контейнер "Smart Lock" 0,4 л 105х95 см</t>
  </si>
  <si>
    <t>ЭЛФ488</t>
  </si>
  <si>
    <t>Контейнер "Snack Box" (130*136*65), цвета в ассортименте</t>
  </si>
  <si>
    <t>ЭЛФ591</t>
  </si>
  <si>
    <t>Контейнер "Ultra" 26 л</t>
  </si>
  <si>
    <t>ЭЛФ588</t>
  </si>
  <si>
    <t>Контейнер "Ultra" 5 л</t>
  </si>
  <si>
    <t>ЭЛФ607</t>
  </si>
  <si>
    <t>Контейнер для выпечки круглый 390х340х160</t>
  </si>
  <si>
    <t>ЭЛФ608</t>
  </si>
  <si>
    <t>Контейнер для выпечки прямоугольный 430х300х105</t>
  </si>
  <si>
    <t>ЭЛФ506</t>
  </si>
  <si>
    <t>Контейнер для овощей 12л (330х240х235)</t>
  </si>
  <si>
    <t>ЭЛФ135</t>
  </si>
  <si>
    <t>Контейнер для СВЧ 1 л с крышкой и клапаном</t>
  </si>
  <si>
    <t>ЭЛФ308</t>
  </si>
  <si>
    <t>Контейнер для СВЧ 1 л с крышкой и клапаном с рисунком</t>
  </si>
  <si>
    <t>ЭЛФ136</t>
  </si>
  <si>
    <t>Контейнер для СВЧ 2 л с крышкой и клапаном</t>
  </si>
  <si>
    <t>ЭЛФ309</t>
  </si>
  <si>
    <t>Контейнер для СВЧ 2 л с крышкой и клапаном с рисунком</t>
  </si>
  <si>
    <t>ЭЛФ137</t>
  </si>
  <si>
    <t>Контейнер для СВЧ 3 л с крышкой и клапаном</t>
  </si>
  <si>
    <t>ЭЛФ669</t>
  </si>
  <si>
    <t>Контейнер для соуса 0,4 л</t>
  </si>
  <si>
    <t>ЭЛФ184</t>
  </si>
  <si>
    <t>Контейнер для сыпучих продуктов "Лайт" 2 л</t>
  </si>
  <si>
    <t>ЭЛФ185</t>
  </si>
  <si>
    <t>Контейнер для сыпучих продуктов "Лайт" 3 л</t>
  </si>
  <si>
    <t>ЭЛФ186</t>
  </si>
  <si>
    <t>Контейнер для сыпучих продуктов "Лайт" 5 л</t>
  </si>
  <si>
    <t>ЭЛФ624</t>
  </si>
  <si>
    <t>Контейнер для хранения "Elegance" 4 л (290x185x110)</t>
  </si>
  <si>
    <t>ЭЛФ489</t>
  </si>
  <si>
    <t>Контейнер для хранения лимона (120*90*78), цвета в ассортименте</t>
  </si>
  <si>
    <t>ЭЛФ361</t>
  </si>
  <si>
    <t>Контейнер для яиц (10 шт)</t>
  </si>
  <si>
    <t>ЭЛФ187</t>
  </si>
  <si>
    <t>Контейнер пищевой квадратный "Лайт" 0,9 л</t>
  </si>
  <si>
    <t>ЭЛФ455</t>
  </si>
  <si>
    <t>Контейнер пищевой квадратный "Лайт" 1,2 л (17*17*17 см)</t>
  </si>
  <si>
    <t>ЭЛФ461</t>
  </si>
  <si>
    <t>Контейнер пищевой прямоугольный "Лайт" 0,9 л</t>
  </si>
  <si>
    <t>ЭЛФ462</t>
  </si>
  <si>
    <t>Контейнер пищевой прямоугольный "Лайт" 1,2 л</t>
  </si>
  <si>
    <t>ЭЛФ538</t>
  </si>
  <si>
    <t>Кружка мерная "Домино" 0,3 л</t>
  </si>
  <si>
    <t>ЭЛФ314</t>
  </si>
  <si>
    <t>Кружка мерная "Домино" 0,5 л</t>
  </si>
  <si>
    <t>ЭЛФ315</t>
  </si>
  <si>
    <t>Кружка мерная "Домино" 1,0 л</t>
  </si>
  <si>
    <t>ЭЛФ609</t>
  </si>
  <si>
    <t>Кружка мерная "Домино" 2,0 л</t>
  </si>
  <si>
    <t>ЭЛФ487</t>
  </si>
  <si>
    <t>Ланч-бокс "Bento" 150*150*90</t>
  </si>
  <si>
    <t>ЭЛФ088</t>
  </si>
  <si>
    <t>Лоток для столовых приборов большой (380х300х50)</t>
  </si>
  <si>
    <t>ЭЛФ087</t>
  </si>
  <si>
    <t>Лоток для столовых приборов малый 26х33 см</t>
  </si>
  <si>
    <t>ЭЛФ396</t>
  </si>
  <si>
    <t>Лоток прямоугольный 0,9 л 203х144х47</t>
  </si>
  <si>
    <t>ЭЛФ397</t>
  </si>
  <si>
    <t>Лоток прямоугольный 1,7 л 252х176х55</t>
  </si>
  <si>
    <t>ЭЛФ398</t>
  </si>
  <si>
    <t>Лоток прямоугольный 3,0 л 305х210х63</t>
  </si>
  <si>
    <t>ЭЛФ446</t>
  </si>
  <si>
    <t>Лоток прямоугольный 4,5 л 355х250х73</t>
  </si>
  <si>
    <t>ЭЛФ227</t>
  </si>
  <si>
    <t>Набор контейнеров "Лайт" 0,9л квадратный (0,9л -3шт)</t>
  </si>
  <si>
    <t>ЭЛФ445</t>
  </si>
  <si>
    <t>Набор контейнеров "Лайт" 0,9л прямоугольный (0,9л -3шт)</t>
  </si>
  <si>
    <t>ЭЛФ471</t>
  </si>
  <si>
    <t>Набор контейнеров "Лайт" 1,2л прямоугольный (1,2л -3шт)</t>
  </si>
  <si>
    <t>ЭЛФ228</t>
  </si>
  <si>
    <t>Набор контейнеров "Лайт" для сыпучих продуктов (2 л, 3 л, 5 л)</t>
  </si>
  <si>
    <t>ЭЛФ479</t>
  </si>
  <si>
    <t>Набор контейнеров "Pets",4шт,Min объем:0.05 л,Max объем:0.3 л,общ.0,75 л цвета в ассортименте</t>
  </si>
  <si>
    <t>ЭЛФ030</t>
  </si>
  <si>
    <t>Подставка для столовых приборов</t>
  </si>
  <si>
    <t>ЭЛФ112</t>
  </si>
  <si>
    <t>Совок для сыпучих продуктов большой 0,8 л</t>
  </si>
  <si>
    <t>ЭЛФ111</t>
  </si>
  <si>
    <t>Совок для сыпучих продуктов малый 0,45 л</t>
  </si>
  <si>
    <t>ЭЛФ089</t>
  </si>
  <si>
    <t>Сухарница "Раздолье" (280х220х100)</t>
  </si>
  <si>
    <t>ЭЛФ386</t>
  </si>
  <si>
    <t>Сушилка "Rondo" большая (460х370х850)</t>
  </si>
  <si>
    <t>ЭЛФ385</t>
  </si>
  <si>
    <t>Сушилка "Rondo" малая (410х290х85)</t>
  </si>
  <si>
    <t>ЭЛФ065</t>
  </si>
  <si>
    <t>Сушилка для посуды двухъярусная</t>
  </si>
  <si>
    <t>ЭЛФ458</t>
  </si>
  <si>
    <t>Сушилка для стаканов большая (444х20х350)</t>
  </si>
  <si>
    <t>ЭЛФ457</t>
  </si>
  <si>
    <t>Сушилка для стаканов малая (407х16х223)</t>
  </si>
  <si>
    <t>ЭЛФ592</t>
  </si>
  <si>
    <t>Форма для льда "Almaz"</t>
  </si>
  <si>
    <t>ЭЛФ605</t>
  </si>
  <si>
    <t>Форма для льда "Diamond"</t>
  </si>
  <si>
    <t>ЭЛФ166</t>
  </si>
  <si>
    <t>Хлебница "Колосок" (300х250х155)</t>
  </si>
  <si>
    <t>ЭЛФ090</t>
  </si>
  <si>
    <t>Хлебница "Урожай" (415х275х190)</t>
  </si>
  <si>
    <t>ЭЛФ436</t>
  </si>
  <si>
    <t>Хлебница "Elegance"(430х270х190)</t>
  </si>
  <si>
    <t>ЭЛФ441</t>
  </si>
  <si>
    <t>Хлебница настольная "Плетёнка" (320х230х145) пластик</t>
  </si>
  <si>
    <t>ЭЛФ259</t>
  </si>
  <si>
    <t>Щетка для мытья бутылок "Ёрш"</t>
  </si>
  <si>
    <t>ЭЛФ258</t>
  </si>
  <si>
    <t>Щетка для мытья посуды "Блеск" круглая</t>
  </si>
  <si>
    <t>ЭЛФ257</t>
  </si>
  <si>
    <t>Щетка для мытья посуды "Блеск" прямоугольная</t>
  </si>
  <si>
    <t>ЭЛФ342</t>
  </si>
  <si>
    <t>Щётка для посуды "Prestige"</t>
  </si>
  <si>
    <t>ЭЛФ339</t>
  </si>
  <si>
    <t>Комод "Виола" 3-х секционный 39 х 39 х 63,5 см</t>
  </si>
  <si>
    <t>ЭЛФ338</t>
  </si>
  <si>
    <t>Комод "Виола" 4-х секционный 39 х 39 х 82,5 см</t>
  </si>
  <si>
    <t>ЭЛФ067</t>
  </si>
  <si>
    <t>Комод "Классика" (сетка) 4-х секционный</t>
  </si>
  <si>
    <t>ЭЛФ593</t>
  </si>
  <si>
    <t>Комод "Elegance mini"</t>
  </si>
  <si>
    <t>ЭЛФ443</t>
  </si>
  <si>
    <t>Комод "Elegance" прямоугольный</t>
  </si>
  <si>
    <t>ЭЛФ322</t>
  </si>
  <si>
    <t>Комод №13 с рисунком "Питомцы"</t>
  </si>
  <si>
    <t>ЭЛФ439</t>
  </si>
  <si>
    <t>Комод №15 с рисунком "Орхидея"</t>
  </si>
  <si>
    <t>ЭЛФ300</t>
  </si>
  <si>
    <t>Комод №2 с рисунком "Алфавит английский" (400*480*981)</t>
  </si>
  <si>
    <t>ЭЛФ301</t>
  </si>
  <si>
    <t>Комод №3 с рисунком "Алфавит"</t>
  </si>
  <si>
    <t>ЭЛФ305</t>
  </si>
  <si>
    <t>Комод №5 с рисунком "Замок"</t>
  </si>
  <si>
    <t>ЭЛФ307</t>
  </si>
  <si>
    <t>Комод №7 с рисунком "Спортивная машина"</t>
  </si>
  <si>
    <t>ЭЛФ652</t>
  </si>
  <si>
    <t>Комплект садовой мебели "Holiday ХL"</t>
  </si>
  <si>
    <t>ЭЛФ651</t>
  </si>
  <si>
    <t>Комплект садовой мебели "Holiday L"</t>
  </si>
  <si>
    <t>ЭЛФ230</t>
  </si>
  <si>
    <t>Кресло "Венеция" (Белый)</t>
  </si>
  <si>
    <t>ЭЛФ179</t>
  </si>
  <si>
    <t>Кресло "Ривьера" (Белый)</t>
  </si>
  <si>
    <t>Кресло "Ривьера" (Красный</t>
  </si>
  <si>
    <t>Кресло "Ривьера" (Синий)</t>
  </si>
  <si>
    <t>ЭЛФ344</t>
  </si>
  <si>
    <t>Кресло "Rodos" (венге)</t>
  </si>
  <si>
    <t>Кресло "Rodos" (серо-коричневый)</t>
  </si>
  <si>
    <t>ЭЛФ378</t>
  </si>
  <si>
    <t>Кресло "Tropic" ротанг (красный)</t>
  </si>
  <si>
    <t>ЭЛФ596</t>
  </si>
  <si>
    <t>Органайзер "Mini Box" 3-х секционный 250х195х265</t>
  </si>
  <si>
    <t>ЭЛФ182</t>
  </si>
  <si>
    <t>Стол "Анталия" (бежевый) 140х80 см</t>
  </si>
  <si>
    <t>Стол "Анталия" (белый) 140х80 см</t>
  </si>
  <si>
    <t>ЭЛФ268</t>
  </si>
  <si>
    <t>Стол "Верона" квадратный 80х80 см бежевый</t>
  </si>
  <si>
    <t>Стол "Верона" квадратный 80х80 см белый</t>
  </si>
  <si>
    <t>Стол "Верона" квадратный 80х80 см зеленый</t>
  </si>
  <si>
    <t>Стол "Верона" квадратный 80х80 см Красный</t>
  </si>
  <si>
    <t>Стол "Верона" квадратный 80х80 см синий</t>
  </si>
  <si>
    <t>ЭЛФ267</t>
  </si>
  <si>
    <t>Стол "Верона" овальный 140*80 см (Бежевый)</t>
  </si>
  <si>
    <t>Стол "Верона" овальный 140*80 см (Белый)</t>
  </si>
  <si>
    <t>Стол "Верона" овальный 140*80 см (Красный)</t>
  </si>
  <si>
    <t>Стол "Верона" овальный 140*80 см (Синий)</t>
  </si>
  <si>
    <t>ЭЛФ636</t>
  </si>
  <si>
    <t>Стол "Palermo" прямоугольный 1645x930x740 (графитовый)</t>
  </si>
  <si>
    <t>ЭЛФ381</t>
  </si>
  <si>
    <t>Стол "Rodos" квадратный (Серо-коричневый) 815х815х750</t>
  </si>
  <si>
    <t>ЭЛФ584</t>
  </si>
  <si>
    <t>Стол "Rodos" квадратный (серо-коричневый) 950х950х750</t>
  </si>
  <si>
    <t>ЭЛФ536</t>
  </si>
  <si>
    <t>Стол "Rodos" прямоугольный (Венге) 1605х945х750</t>
  </si>
  <si>
    <t>ЭЛФ382</t>
  </si>
  <si>
    <t>Стол "Rodos" с декором (коричневый) 815х815х750</t>
  </si>
  <si>
    <t>ЭЛФ084</t>
  </si>
  <si>
    <t>Стол квадратный 70 см (Бежевый)</t>
  </si>
  <si>
    <t>Стол квадратный 70 см (Белый)</t>
  </si>
  <si>
    <t>Стол квадратный 70 см (Зеленый</t>
  </si>
  <si>
    <t>Стол квадратный 70 см (Красный</t>
  </si>
  <si>
    <t>Стол квадратный 70 см (Синий)</t>
  </si>
  <si>
    <t>ЭЛФ051</t>
  </si>
  <si>
    <t>Стол круглый 80 см (Бежевый)</t>
  </si>
  <si>
    <t>Стол круглый 80 см (Белый)</t>
  </si>
  <si>
    <t>Стол круглый 80 см (Зеленый)</t>
  </si>
  <si>
    <t>Стол круглый 80 см (Красный)</t>
  </si>
  <si>
    <t>Стол круглый 80 см (Синий)</t>
  </si>
  <si>
    <t>ЭЛФ599</t>
  </si>
  <si>
    <t>Столик для шезлонга "Aqua" 405х405х348 (белый)</t>
  </si>
  <si>
    <t>ЭЛФ162</t>
  </si>
  <si>
    <t>Табурет "Алфавит" складной, детский</t>
  </si>
  <si>
    <t>ЭЛФ163</t>
  </si>
  <si>
    <t>Табурет "Пенёк" детский с рисунком</t>
  </si>
  <si>
    <t>ЭЛФ255</t>
  </si>
  <si>
    <t>Табурет "Ротанг" большой</t>
  </si>
  <si>
    <t>ЭЛФ256</t>
  </si>
  <si>
    <t>Табурет "Ротанг" малый</t>
  </si>
  <si>
    <t>ЭЛФ114</t>
  </si>
  <si>
    <t>Табурет складной "Мультистул" большой 44,5 см</t>
  </si>
  <si>
    <t>ЭЛФ113</t>
  </si>
  <si>
    <t>Табурет складной "Мультистул" малый 28 см</t>
  </si>
  <si>
    <t>ЭЛФ034</t>
  </si>
  <si>
    <t>Этажерка для обуви 5 секций,цвета в ассортименте</t>
  </si>
  <si>
    <t>ЭЛФ442</t>
  </si>
  <si>
    <t>Этажерка универсальная "Плетёнка" 4-х секционная</t>
  </si>
  <si>
    <t>ЭЛФ285</t>
  </si>
  <si>
    <t>Вазон "Флавия" 12 л</t>
  </si>
  <si>
    <t>ЭЛФ283</t>
  </si>
  <si>
    <t>Вазон "Флавия" 2 л</t>
  </si>
  <si>
    <t>ЭЛФ284</t>
  </si>
  <si>
    <t>Вазон "Флавия" 5 л</t>
  </si>
  <si>
    <t>ЭЛФ221</t>
  </si>
  <si>
    <t>Вазон "Флора" 14,5 л</t>
  </si>
  <si>
    <t>ЭЛФ219</t>
  </si>
  <si>
    <t>Вазон "Флора" 4 л</t>
  </si>
  <si>
    <t>ЭЛФ220</t>
  </si>
  <si>
    <t>Вазон "Флора" 7,5 л</t>
  </si>
  <si>
    <t>ЭЛФ648</t>
  </si>
  <si>
    <t>Канистра-умывальник "Aqualine" 14 л</t>
  </si>
  <si>
    <t>ЭЛФ697</t>
  </si>
  <si>
    <t>Кашпо "Антика" D350</t>
  </si>
  <si>
    <t>ЭЛФ275</t>
  </si>
  <si>
    <t>Кашпо "Глория" №1 0,7 л с поддоном</t>
  </si>
  <si>
    <t>ЭЛФ276</t>
  </si>
  <si>
    <t>Кашпо "Глория" №2 1,3 л с поддоном</t>
  </si>
  <si>
    <t>ЭЛФ277</t>
  </si>
  <si>
    <t>Кашпо "Глория" №3 2,0 л с поддоном</t>
  </si>
  <si>
    <t>ЭЛФ008</t>
  </si>
  <si>
    <t>Кашпо "Орнамент" №7 24 л с поддоном</t>
  </si>
  <si>
    <t>ЭЛФ156</t>
  </si>
  <si>
    <t>Кашпо "Флавия" 0,6 л с поддоном</t>
  </si>
  <si>
    <t>ЭЛФ157</t>
  </si>
  <si>
    <t>Кашпо "Флавия" 1 л с поддоном</t>
  </si>
  <si>
    <t>ЭЛФ158</t>
  </si>
  <si>
    <t>Кашпо "Флавия" 1,4 л с поддоном (подвесное) БЕЗ ПОДВЕСОВ</t>
  </si>
  <si>
    <t>ЭЛФ059</t>
  </si>
  <si>
    <t>Кашпо "Флавия" 1,7 л с поддоном</t>
  </si>
  <si>
    <t>ЭЛФ062</t>
  </si>
  <si>
    <t>Кашпо "Флавия" 10 л с поддоном</t>
  </si>
  <si>
    <t>ЭЛФ063</t>
  </si>
  <si>
    <t>Кашпо "Флавия" 15 л с поддоном</t>
  </si>
  <si>
    <t>ЭЛФ159</t>
  </si>
  <si>
    <t>Кашпо "Флавия" 2,5 л с поддоном (подвесное) БЕЗ ПОДВЕСОВ</t>
  </si>
  <si>
    <t>ЭЛФ064</t>
  </si>
  <si>
    <t>Кашпо "Флавия" 23 л с поддоном</t>
  </si>
  <si>
    <t>ЭЛФ060</t>
  </si>
  <si>
    <t>Кашпо "Флавия" 3 л с поддоном</t>
  </si>
  <si>
    <t>ЭЛФ061</t>
  </si>
  <si>
    <t>Кашпо "Флавия" 5 л с поддоном</t>
  </si>
  <si>
    <t>ЭЛФ271</t>
  </si>
  <si>
    <t>Кашпо "Флавия" овальное №1 с застегивающимся поддоном</t>
  </si>
  <si>
    <t>ЭЛФ272</t>
  </si>
  <si>
    <t>Кашпо "Флавия" овальное №2 с застегивающимся поддоном</t>
  </si>
  <si>
    <t>ЭЛФ082</t>
  </si>
  <si>
    <t>Кашпо "Флавия" прямоугольное №1 50 см</t>
  </si>
  <si>
    <t>ЭЛФ083</t>
  </si>
  <si>
    <t>Кашпо "Флавия" прямоугольное №2 65 см</t>
  </si>
  <si>
    <t>ЭЛФ270</t>
  </si>
  <si>
    <t>Кашпо "Флавия" прямоугольное №3 100 см</t>
  </si>
  <si>
    <t>ЭЛФ212</t>
  </si>
  <si>
    <t>Кашпо "Флора" 1,1 л с поддоном</t>
  </si>
  <si>
    <t>ЭЛФ213</t>
  </si>
  <si>
    <t>Кашпо "Флора" 1,6 л с поддоном</t>
  </si>
  <si>
    <t>ЭЛФ217</t>
  </si>
  <si>
    <t>Кашпо "Флора" 14,25 л с поддоном</t>
  </si>
  <si>
    <t>ЭЛФ224</t>
  </si>
  <si>
    <t>Кашпо "Флора" 14,5 л подвесное</t>
  </si>
  <si>
    <t>ЭЛФ214</t>
  </si>
  <si>
    <t>Кашпо "Флора" 2,5 л с поддоном</t>
  </si>
  <si>
    <t>ЭЛФ218</t>
  </si>
  <si>
    <t>Кашпо "Флора" 30 л с поддоном</t>
  </si>
  <si>
    <t>ЭЛФ222</t>
  </si>
  <si>
    <t>Кашпо "Флора" 4 л подвесное</t>
  </si>
  <si>
    <t>ЭЛФ215</t>
  </si>
  <si>
    <t>Кашпо "Флора" 5 л с поддоном</t>
  </si>
  <si>
    <t>ЭЛФ223</t>
  </si>
  <si>
    <t>Кашпо "Флора" 7,5 л подвесное</t>
  </si>
  <si>
    <t>ЭЛФ216</t>
  </si>
  <si>
    <t>Кашпо "Флора" 9,5 л с поддоном</t>
  </si>
  <si>
    <t>ЭЛФ570</t>
  </si>
  <si>
    <t>Кашпо "Camellia" 295х295х565</t>
  </si>
  <si>
    <t>ЭЛФ594</t>
  </si>
  <si>
    <t>Кашпо "Camellia" ротанг 245х245х465</t>
  </si>
  <si>
    <t>ЭЛФ569</t>
  </si>
  <si>
    <t>Кашпо "Camellia" ротанг 295х295х565</t>
  </si>
  <si>
    <t>ЭЛФ432</t>
  </si>
  <si>
    <t>Кашпо "Italy" 11 л с поддоном</t>
  </si>
  <si>
    <t>ЭЛФ433</t>
  </si>
  <si>
    <t>Кашпо "Italy" 17 л с поддоном</t>
  </si>
  <si>
    <t>ЭЛФ429</t>
  </si>
  <si>
    <t>Кашпо "Italy" 2 л с поддоном</t>
  </si>
  <si>
    <t>ЭЛФ434</t>
  </si>
  <si>
    <t>Кашпо "Italy" 28 л с поддоном</t>
  </si>
  <si>
    <t>ЭЛФ430</t>
  </si>
  <si>
    <t>Кашпо "Italy" 3,5 л с поддоном</t>
  </si>
  <si>
    <t>ЭЛФ435</t>
  </si>
  <si>
    <t>Кашпо "Italy" 38 л с поддоном</t>
  </si>
  <si>
    <t>ЭЛФ431</t>
  </si>
  <si>
    <t>Кашпо "Italy" 6 л с поддоном</t>
  </si>
  <si>
    <t>ЭЛФ582</t>
  </si>
  <si>
    <t>Кашпо "Kerama" 1,1 л</t>
  </si>
  <si>
    <t>ЭЛФ600</t>
  </si>
  <si>
    <t>Кашпо "Kerama" 14,2 л</t>
  </si>
  <si>
    <t>ЭЛФ583</t>
  </si>
  <si>
    <t>Кашпо "Kerama" 15,5 л</t>
  </si>
  <si>
    <t>ЭЛФ495</t>
  </si>
  <si>
    <t>Кашпо "Kerama" 2,3 л</t>
  </si>
  <si>
    <t>ЭЛФ664</t>
  </si>
  <si>
    <t>Кашпо "Kerama" 30 л</t>
  </si>
  <si>
    <t>ЭЛФ496</t>
  </si>
  <si>
    <t>Кашпо "Kerama" 4,6 л</t>
  </si>
  <si>
    <t>ЭЛФ497</t>
  </si>
  <si>
    <t>Кашпо "Kerama" 8,5 л</t>
  </si>
  <si>
    <t>ЭЛФ572</t>
  </si>
  <si>
    <t>Кашпо "Lace" 2,3 л</t>
  </si>
  <si>
    <t>ЭЛФ574</t>
  </si>
  <si>
    <t>Кашпо "Lace" 2,3 л подвесное</t>
  </si>
  <si>
    <t>ЭЛФ573</t>
  </si>
  <si>
    <t>Кашпо "Lace" 3,9 л</t>
  </si>
  <si>
    <t>ЭЛФ575</t>
  </si>
  <si>
    <t>Кашпо "Lace" 3,9 л подвесное</t>
  </si>
  <si>
    <t>ЭЛФ656</t>
  </si>
  <si>
    <t>Кашпо "Linea" 1,1 л</t>
  </si>
  <si>
    <t>ЭЛФ657</t>
  </si>
  <si>
    <t>Кашпо "Linea" 2,3 л</t>
  </si>
  <si>
    <t>ЭЛФ658</t>
  </si>
  <si>
    <t>Кашпо "Linea" 4,6 л</t>
  </si>
  <si>
    <t>ЭЛФ659</t>
  </si>
  <si>
    <t>Кашпо "Linea" 8,5 л</t>
  </si>
  <si>
    <t>ЭЛФ634</t>
  </si>
  <si>
    <t>Кашпо "Luna" D395 mm</t>
  </si>
  <si>
    <t>ЭЛФ633</t>
  </si>
  <si>
    <t>Кашпо "Luna" D435 mm</t>
  </si>
  <si>
    <t>ЭЛФ663</t>
  </si>
  <si>
    <t>Кашпо "Provence" квадратное 43х43 см</t>
  </si>
  <si>
    <t>ЭЛФ576</t>
  </si>
  <si>
    <t>Кашпо "Sandy"</t>
  </si>
  <si>
    <t>ЭЛФ668</t>
  </si>
  <si>
    <t>Кашпо "Tocco" квадратное 24 л/8 л</t>
  </si>
  <si>
    <t>ЭЛФ667</t>
  </si>
  <si>
    <t>Кашпо "Tocco" D390</t>
  </si>
  <si>
    <t>ЭЛФ662</t>
  </si>
  <si>
    <t>Кашпо "Vinto" 12,4 л</t>
  </si>
  <si>
    <t>ЭЛФ660</t>
  </si>
  <si>
    <t>Кашпо "Vinto" 5,4 л</t>
  </si>
  <si>
    <t>ЭЛФ661</t>
  </si>
  <si>
    <t>Кашпо "Vinto" 9,4 л</t>
  </si>
  <si>
    <t>ЭЛФ273</t>
  </si>
  <si>
    <t>Кашпо для орхидей №1 1,1 л</t>
  </si>
  <si>
    <t>ЭЛФ274</t>
  </si>
  <si>
    <t>Кашпо для орхидей №2 2,2 л</t>
  </si>
  <si>
    <t>ЭЛФ428</t>
  </si>
  <si>
    <t>Корзина для пикника "Paola" 25 л, цвет в ассортименте</t>
  </si>
  <si>
    <t>ЭЛФ486</t>
  </si>
  <si>
    <t>Кружка "Travel" 0,6л (120*95),с крышкой, цвета в ассортименте</t>
  </si>
  <si>
    <t>МН-199А/-199</t>
  </si>
  <si>
    <t>Масленка нержавеющая сталь МН-199А</t>
  </si>
  <si>
    <t>ЭЛФ160</t>
  </si>
  <si>
    <t>Подвеска для кашпо "Флавия" 1,4 л и 2,5 л</t>
  </si>
  <si>
    <t>ЭЛФ555</t>
  </si>
  <si>
    <t>Сумка "Универсал"</t>
  </si>
  <si>
    <t>ЭЛФ554</t>
  </si>
  <si>
    <t>Сумка "Ariana" универсальная малая</t>
  </si>
  <si>
    <t>ЭЛФ172</t>
  </si>
  <si>
    <t>Черенок 120 см пластиковый прорезиненный</t>
  </si>
  <si>
    <t>ЭЛФ280</t>
  </si>
  <si>
    <t>Ковш "Eco" 1,25 л</t>
  </si>
  <si>
    <t>ЭЛФ643</t>
  </si>
  <si>
    <t>Ковш "Flexy" 1,2 л складной</t>
  </si>
  <si>
    <t>ЭЛФ197</t>
  </si>
  <si>
    <t>Крышка для СВЧ "Лайт" Ø250х113 с 2мя клапанами</t>
  </si>
  <si>
    <t>ЭЛФ456</t>
  </si>
  <si>
    <t>Крышка для СВЧ "Лайт" Ø290*147 с 2мя клапанами</t>
  </si>
  <si>
    <t>ЭЛФ357</t>
  </si>
  <si>
    <t>Ёмкость для масла 0,5 л</t>
  </si>
  <si>
    <t>ЭЛФ358</t>
  </si>
  <si>
    <t>Ёмкость для масла 0,75 л</t>
  </si>
  <si>
    <t>ЭЛФ359</t>
  </si>
  <si>
    <t>Ёмкость для масла 1,0 л</t>
  </si>
  <si>
    <t>ЭЛФ503</t>
  </si>
  <si>
    <t>Емкость для соуса 0,4 л, цвета в ассортименте</t>
  </si>
  <si>
    <t>ЭЛФ504</t>
  </si>
  <si>
    <t>Емкость для соуса 0,7 л, цвета в ассортименте</t>
  </si>
  <si>
    <t>ЭЛФ351</t>
  </si>
  <si>
    <t>Кружка с рисунком "Bambini" 0,5 л</t>
  </si>
  <si>
    <t>ЭЛФ349</t>
  </si>
  <si>
    <t>Кружка с рисунком "Decor" 0,5 л</t>
  </si>
  <si>
    <t>ЭЛФ350</t>
  </si>
  <si>
    <t>Кружка с рисунком "Decor" 1 л</t>
  </si>
  <si>
    <t>ЭЛФ333</t>
  </si>
  <si>
    <t>Кувшин "Кумган" 2,4л</t>
  </si>
  <si>
    <t>ЭЛФ269</t>
  </si>
  <si>
    <t>Маслёнка (180х105х71)</t>
  </si>
  <si>
    <t>ЭЛФ191</t>
  </si>
  <si>
    <t>Миска "Карамель" 1,5 л</t>
  </si>
  <si>
    <t>ЭЛФ260</t>
  </si>
  <si>
    <t>Миска "Селена" 1 л</t>
  </si>
  <si>
    <t>ЭЛФ261</t>
  </si>
  <si>
    <t>Миска "Селена" 1,5 л</t>
  </si>
  <si>
    <t>ЭЛФ265</t>
  </si>
  <si>
    <t>Миска "Селена" 10 л</t>
  </si>
  <si>
    <t>ЭЛФ266</t>
  </si>
  <si>
    <t>Миска "Селена" 15 л</t>
  </si>
  <si>
    <t>ЭЛФ262</t>
  </si>
  <si>
    <t>Миска "Селена" 2,5 л</t>
  </si>
  <si>
    <t>ЭЛФ263</t>
  </si>
  <si>
    <t>Миска "Селена" 4,5 л</t>
  </si>
  <si>
    <t>ЭЛФ264</t>
  </si>
  <si>
    <t>Миска "Селена" 7 л</t>
  </si>
  <si>
    <t>ЭЛФ420</t>
  </si>
  <si>
    <t>Миска "Mix" 10 л с декором</t>
  </si>
  <si>
    <t>ЭЛФ421</t>
  </si>
  <si>
    <t>Миска "Mix" 15 л с декором</t>
  </si>
  <si>
    <t>ЭЛФ412</t>
  </si>
  <si>
    <t>Миска "Twist" 0,35 л</t>
  </si>
  <si>
    <t>ЭЛФ413</t>
  </si>
  <si>
    <t>Миска "Twist" 0,75 л</t>
  </si>
  <si>
    <t>ЭЛФ414</t>
  </si>
  <si>
    <t>Миска "Twist" 1,5 л</t>
  </si>
  <si>
    <t>ЭЛФ475</t>
  </si>
  <si>
    <t>Миска "Twist" 3 л</t>
  </si>
  <si>
    <t>ЭЛФ294</t>
  </si>
  <si>
    <t>Миска №3 2,5 л с рисунком</t>
  </si>
  <si>
    <t>ЭЛФ295</t>
  </si>
  <si>
    <t>Миска №4 4,5 л с рисунком</t>
  </si>
  <si>
    <t>ЭЛФ298</t>
  </si>
  <si>
    <t>Миска №7 с рисунком 15 л</t>
  </si>
  <si>
    <t>ЭЛФ247</t>
  </si>
  <si>
    <t>Поднос "Ретро" (474х355х21) без рисунка</t>
  </si>
  <si>
    <t>ЭЛФ303</t>
  </si>
  <si>
    <t>Поднос "Ретро" (474х355х21) с рисунком</t>
  </si>
  <si>
    <t>ЭЛФ562</t>
  </si>
  <si>
    <t>Поднос "No Slip" 460х360х23</t>
  </si>
  <si>
    <t>ЭЛФ138</t>
  </si>
  <si>
    <t>Поднос с ручками большой 495х325х50</t>
  </si>
  <si>
    <t>ЭЛФ077</t>
  </si>
  <si>
    <t>Салатница "Кристалл" 1 л (Ø180х67) пластик</t>
  </si>
  <si>
    <t>ЭЛФ078</t>
  </si>
  <si>
    <t>Салатница "Кристалл" 1,7 л</t>
  </si>
  <si>
    <t>ЭЛФ079</t>
  </si>
  <si>
    <t>Салатница "Кристалл" 2,5 л</t>
  </si>
  <si>
    <t>ЭЛФ080</t>
  </si>
  <si>
    <t>Салатница "Кристалл" 4,5 л</t>
  </si>
  <si>
    <t>ЭЛФ621</t>
  </si>
  <si>
    <t>Салатница с крышкой 0,7 л</t>
  </si>
  <si>
    <t>ЭЛФ394</t>
  </si>
  <si>
    <t>Салатница с крышкой 1,2 л</t>
  </si>
  <si>
    <t>ЭЛФ622</t>
  </si>
  <si>
    <t>Салатница с крышкой 1,4 л</t>
  </si>
  <si>
    <t>ЭЛФ281</t>
  </si>
  <si>
    <t>Салатница с крышкой 2,5 л</t>
  </si>
  <si>
    <t>ЭЛФ623</t>
  </si>
  <si>
    <t>Салатница с крышкой 2,6 л</t>
  </si>
  <si>
    <t>ЭЛФ282</t>
  </si>
  <si>
    <t>Салатница с крышкой 4 л</t>
  </si>
  <si>
    <t>ЭЛФ254</t>
  </si>
  <si>
    <t>Бак "Антей" 70 л с крышкой,Ø530х610,цвета в ассортименте</t>
  </si>
  <si>
    <t>ЭЛФ313</t>
  </si>
  <si>
    <t>Бак "Геркулес" 100 л с крышкой,590х570х740,цвета в ассортименте</t>
  </si>
  <si>
    <t>ЭЛФ567</t>
  </si>
  <si>
    <t>Бак "Геркулес" 45 л с крышкой,450х465х475,цвета в ассортименте</t>
  </si>
  <si>
    <t>ЭЛФ568</t>
  </si>
  <si>
    <t>Бак "Геркулес" 70 л с крышкой,520х530х660,цвета в ассортименте</t>
  </si>
  <si>
    <t>ЭЛФ424</t>
  </si>
  <si>
    <t>Бак 105 л на колесах, для мусора (550х550х880) зеленый</t>
  </si>
  <si>
    <t>ЭЛФ012</t>
  </si>
  <si>
    <t>Бак 25 л с крышкой,Ø355х390,цвета в ассортименте</t>
  </si>
  <si>
    <t>ЭЛФ013</t>
  </si>
  <si>
    <t>Бак 50 л с крышкой,Ø430х485,цвета в ассортименте</t>
  </si>
  <si>
    <t>ЭЛФ011</t>
  </si>
  <si>
    <t>Бак 80 л с крышкой,Ø495х565,цвета в ассортименте</t>
  </si>
  <si>
    <t>ЭЛФ628</t>
  </si>
  <si>
    <t>Бак для мусора 80 л с педалью, 510х400х795,зеленые</t>
  </si>
  <si>
    <t>ЭЛФ368</t>
  </si>
  <si>
    <t>Бидон "Aqualine" 10 л с краном</t>
  </si>
  <si>
    <t>ЭЛФ366</t>
  </si>
  <si>
    <t>Бидон "Aqualine" 5 л</t>
  </si>
  <si>
    <t>ЭЛФ106</t>
  </si>
  <si>
    <t>Ведро "Волна" 10 л (без крышки) цвета в ассорт</t>
  </si>
  <si>
    <t>ЭЛФ118</t>
  </si>
  <si>
    <t>Ведро "Волна" 10 л с крышкой цвета в ассорт</t>
  </si>
  <si>
    <t>ЭЛФ198</t>
  </si>
  <si>
    <t>Ведро "Волна" 12 л (без крышки) цвета в ассорт</t>
  </si>
  <si>
    <t>ЭЛФ200</t>
  </si>
  <si>
    <t>Ведро "Волна" 12 л с крышкой цвета в ассорт</t>
  </si>
  <si>
    <t>ЭЛФ210</t>
  </si>
  <si>
    <t>Ведро "Волна" 18 л (без крышки) цвета в ассорт</t>
  </si>
  <si>
    <t>ЭЛФ211</t>
  </si>
  <si>
    <t>Ведро "Волна" 18 л с крышкой цвета в ассорт</t>
  </si>
  <si>
    <t>ЭЛФ104</t>
  </si>
  <si>
    <t>Ведро "Волна" 4 л (без крышки) цвета в ассорт</t>
  </si>
  <si>
    <t>ЭЛФ116</t>
  </si>
  <si>
    <t>Ведро "Волна" 4 л с крышкой цвета в ассорт</t>
  </si>
  <si>
    <t>ЭЛФ105</t>
  </si>
  <si>
    <t>Ведро "Волна" 7 л (без крышки) цвета в ассорт</t>
  </si>
  <si>
    <t>ЭЛФ117</t>
  </si>
  <si>
    <t>Ведро "Волна" 7 л с крышкой цвета в ассорт</t>
  </si>
  <si>
    <t>ЭЛФ640</t>
  </si>
  <si>
    <t>Ведро "Argo" 4 л , цвета в ассорт</t>
  </si>
  <si>
    <t>ЭЛФ447</t>
  </si>
  <si>
    <t>Ведро для мусора навесное,цвета в ассортименте</t>
  </si>
  <si>
    <t>ЭЛФ143</t>
  </si>
  <si>
    <t>Ведро-туалет с крышкой 22 л</t>
  </si>
  <si>
    <t>ЭЛФ146</t>
  </si>
  <si>
    <t>Веник "Золушка"</t>
  </si>
  <si>
    <t>ЭЛФ356</t>
  </si>
  <si>
    <t>Веник "Sweep"</t>
  </si>
  <si>
    <t>ЭЛФ525</t>
  </si>
  <si>
    <t>Ёмкость для микроволновой печи 1,8 л (208х200х97)</t>
  </si>
  <si>
    <t>ЭЛФ526</t>
  </si>
  <si>
    <t>Ёмкость для микроволновой печи 3,0 л</t>
  </si>
  <si>
    <t>ЭЛФ369</t>
  </si>
  <si>
    <t>Канистра "Aqualine" 16 л</t>
  </si>
  <si>
    <t>ЭЛФ383</t>
  </si>
  <si>
    <t>Канистра "Aqualine" 16 л с краном</t>
  </si>
  <si>
    <t>ЭЛФ377</t>
  </si>
  <si>
    <t>Комплект для туалета "Elegance" ёрш с подставкой</t>
  </si>
  <si>
    <t>ЭЛФ196</t>
  </si>
  <si>
    <t>Комплект для уборки "Компакт" щётка-сметка с совком</t>
  </si>
  <si>
    <t>ЭЛФ324</t>
  </si>
  <si>
    <t>Контейнер "Star Box Аптечка"(350х260х215)</t>
  </si>
  <si>
    <t>ЭЛФ374</t>
  </si>
  <si>
    <t>Контейнер "Storage Box" 30 л на колёсах (640*415*195)</t>
  </si>
  <si>
    <t>ЭЛФ375</t>
  </si>
  <si>
    <t>Контейнер "Storage Box" 40 л на колёсах (640х415х250)</t>
  </si>
  <si>
    <t>ЭЛФ376</t>
  </si>
  <si>
    <t>Контейнер "Storage Box" 50 л на колёсах (640х415х315)</t>
  </si>
  <si>
    <t>ЭЛФ589</t>
  </si>
  <si>
    <t>Контейнер "Ultra" 10 л</t>
  </si>
  <si>
    <t>ЭЛФ590</t>
  </si>
  <si>
    <t>Контейнер "Ultra" 16 л</t>
  </si>
  <si>
    <t>ЭЛФ470</t>
  </si>
  <si>
    <t>Контейнер для корма животных 6 л</t>
  </si>
  <si>
    <t>ЭЛФ107</t>
  </si>
  <si>
    <t>Контейнер для мусора "Ромашка" 1,5 л с перекидным верхом</t>
  </si>
  <si>
    <t>ЭЛФ057</t>
  </si>
  <si>
    <t>Контейнер для мусора "Ромашка" 10 л с перекидным верхом</t>
  </si>
  <si>
    <t>ЭЛФ058</t>
  </si>
  <si>
    <t>Контейнер для мусора "Ромашка" 18 л с перекидным верхом</t>
  </si>
  <si>
    <t>ЭЛФ463</t>
  </si>
  <si>
    <t>Контейнер для мусора "Ромашка" 35 л с перекидным верхом</t>
  </si>
  <si>
    <t>ЭЛФ108</t>
  </si>
  <si>
    <t>Контейнер для мусора "Ромашка" 5 л с перекидным верхом</t>
  </si>
  <si>
    <t>ЭЛФ476</t>
  </si>
  <si>
    <t>Контейнер для мусора "Proff" 2 л (150*130*205)</t>
  </si>
  <si>
    <t>ЭЛФ477</t>
  </si>
  <si>
    <t>Контейнер для мусора "Proff" 5 л (220*170*260)</t>
  </si>
  <si>
    <t>ЭЛФ478</t>
  </si>
  <si>
    <t>Контейнер для мусора "Proff" 9 л (250*200*325)</t>
  </si>
  <si>
    <t>ЭЛФ203</t>
  </si>
  <si>
    <t>Контейнер для мусора с педалью "Бинго" 18 л</t>
  </si>
  <si>
    <t>ЭЛФ202</t>
  </si>
  <si>
    <t>Контейнер для мусора с педалью "Бинго" 8 л</t>
  </si>
  <si>
    <t>ЭЛФ557</t>
  </si>
  <si>
    <t>Контейнер для мусора с педалью "Slim" 10 л</t>
  </si>
  <si>
    <t>ЭЛФ558</t>
  </si>
  <si>
    <t>Контейнер для мусора с педалью "Slim" 15 л</t>
  </si>
  <si>
    <t>ЭЛФ665</t>
  </si>
  <si>
    <t>Контейнер для мусора с педалью "Slim" 25 л</t>
  </si>
  <si>
    <t>ЭЛФ031</t>
  </si>
  <si>
    <t>Контейнер для мусора с педалью 11 л (270х255х315)</t>
  </si>
  <si>
    <t>ЭЛФ032</t>
  </si>
  <si>
    <t>Контейнер для мусора с педалью 18 л</t>
  </si>
  <si>
    <t>ЭЛФ110</t>
  </si>
  <si>
    <t>Контейнер для мусора с педалью 7 л (230х205х285)</t>
  </si>
  <si>
    <t>ЭЛФ469</t>
  </si>
  <si>
    <t>Контейнер для порошка 6 л</t>
  </si>
  <si>
    <t>ЭЛФ626</t>
  </si>
  <si>
    <t>Контейнер для хранения "Elegance" 14 л (315x305x8)</t>
  </si>
  <si>
    <t>ЭЛФ627</t>
  </si>
  <si>
    <t>Контейнер для хранения "Elegance" 20 л (390х290х240)</t>
  </si>
  <si>
    <t>ЭЛФ625</t>
  </si>
  <si>
    <t>Контейнер для хранения "Elegance" 9 л (353x255x139)</t>
  </si>
  <si>
    <t>ЭЛФ336</t>
  </si>
  <si>
    <t>Контейнер с педалью "Elegance" 11 л</t>
  </si>
  <si>
    <t>ЭЛФ337</t>
  </si>
  <si>
    <t>Контейнер с педалью "Elegance" 18 л</t>
  </si>
  <si>
    <t>ЭЛФ086</t>
  </si>
  <si>
    <t>Корзина "Универсал" прямоуг. с ручками 40 л</t>
  </si>
  <si>
    <t>ЭЛФ514</t>
  </si>
  <si>
    <t>Корзина "Ariana" 55 л</t>
  </si>
  <si>
    <t>ЭЛФ348</t>
  </si>
  <si>
    <t>Корзина для белья "Виола" 25 л</t>
  </si>
  <si>
    <t>ЭЛФ204</t>
  </si>
  <si>
    <t>Корзина для белья "Виола" 30 л</t>
  </si>
  <si>
    <t>ЭЛФ205</t>
  </si>
  <si>
    <t>Корзина для белья "Виола" 50 л</t>
  </si>
  <si>
    <t>ЭЛФ606</t>
  </si>
  <si>
    <t>Корзина для белья "Elegance" 36 л</t>
  </si>
  <si>
    <t>ЭЛФ427</t>
  </si>
  <si>
    <t>Корзина для белья "Paola" 30 л овальная</t>
  </si>
  <si>
    <t>ЭЛФ467</t>
  </si>
  <si>
    <t>Корзина для белья "Paola" 37 л</t>
  </si>
  <si>
    <t>ЭЛФ426</t>
  </si>
  <si>
    <t>Корзина для белья "Paola" 55 л</t>
  </si>
  <si>
    <t>ЭЛФ081</t>
  </si>
  <si>
    <t>Корзина для белья 45 л угловая</t>
  </si>
  <si>
    <t>ЭЛФ225</t>
  </si>
  <si>
    <t>Корзина офисная "Вега" Ø265х290 пластик (цвета в ассортим.)</t>
  </si>
  <si>
    <t>ЭЛФ511</t>
  </si>
  <si>
    <t>Корзинка "Ariana" 1,25 л</t>
  </si>
  <si>
    <t>ЭЛФ561</t>
  </si>
  <si>
    <t>Корзинка "Ariana" 12 л с крышкой</t>
  </si>
  <si>
    <t>ЭЛФ512</t>
  </si>
  <si>
    <t>Корзинка "Ariana" 2,75 л</t>
  </si>
  <si>
    <t>ЭЛФ559</t>
  </si>
  <si>
    <t>Корзинка "Ariana" 3 л с крышкой</t>
  </si>
  <si>
    <t>ЭЛФ513</t>
  </si>
  <si>
    <t>Корзинка "Ariana" 5,4 л</t>
  </si>
  <si>
    <t>ЭЛФ560</t>
  </si>
  <si>
    <t>Корзинка "Ariana" 6 л с крышкой</t>
  </si>
  <si>
    <t>ЭЛФ466</t>
  </si>
  <si>
    <t>Корзинка "Paola" 19 л</t>
  </si>
  <si>
    <t>ЭЛФ464</t>
  </si>
  <si>
    <t>Корзинка "Paola" 3 л</t>
  </si>
  <si>
    <t>ЭЛФ465</t>
  </si>
  <si>
    <t>Корзинка "Paola" 8 л</t>
  </si>
  <si>
    <t>ЭЛФ194</t>
  </si>
  <si>
    <t>Корзинка для прищепок подвесная</t>
  </si>
  <si>
    <t>ЭЛФ395</t>
  </si>
  <si>
    <t>Лейка "Лилия" 1,4 л</t>
  </si>
  <si>
    <t>ЭЛФ335</t>
  </si>
  <si>
    <t>Лейка 10 л</t>
  </si>
  <si>
    <t>ЭЛФ334</t>
  </si>
  <si>
    <t>Лейка 7 л</t>
  </si>
  <si>
    <t>ЭЛФ170</t>
  </si>
  <si>
    <t>Метла для улицы "Метеор"</t>
  </si>
  <si>
    <t>ЭЛФ251</t>
  </si>
  <si>
    <t>Мухобойка "Цветочек"</t>
  </si>
  <si>
    <t>ЭЛФ345</t>
  </si>
  <si>
    <t>Набор "Дуэт" веник с совком</t>
  </si>
  <si>
    <t>ЭЛФ145</t>
  </si>
  <si>
    <t>Набор "Тандем" веник с совком</t>
  </si>
  <si>
    <t>ЭЛФ355</t>
  </si>
  <si>
    <t>Набор "Тандем" веник с совком большой</t>
  </si>
  <si>
    <t>ЭЛФ556</t>
  </si>
  <si>
    <t>Набор "Sweep" веник с совком</t>
  </si>
  <si>
    <t>ЭЛФ650</t>
  </si>
  <si>
    <t>Органайзер "StorMax Аптечка"</t>
  </si>
  <si>
    <t>ЭЛФ637</t>
  </si>
  <si>
    <t>Органайзер "StorMax" 10 л универсальный со вставкой</t>
  </si>
  <si>
    <t>ЭЛФ518</t>
  </si>
  <si>
    <t>Органайзер "Swift" большой</t>
  </si>
  <si>
    <t>ЭЛФ516</t>
  </si>
  <si>
    <t>Органайзер "Swift" малый</t>
  </si>
  <si>
    <t>ЭЛФ517</t>
  </si>
  <si>
    <t>Органайзер "Swift" средний</t>
  </si>
  <si>
    <t>ЭЛФ460</t>
  </si>
  <si>
    <t>Совок "Золушка" (155х30х400)</t>
  </si>
  <si>
    <t>ЭЛФ206</t>
  </si>
  <si>
    <t>Совок "Чистюля" (220х315х60)</t>
  </si>
  <si>
    <t>ЭЛФ144</t>
  </si>
  <si>
    <t>Совок для мусора "Ласточка" (235х225х235)</t>
  </si>
  <si>
    <t>ЭЛФ508</t>
  </si>
  <si>
    <t>Таз "Атлант" 12 л, цвета в ассорт</t>
  </si>
  <si>
    <t>ЭЛФ509</t>
  </si>
  <si>
    <t>Таз "Атлант" 18 л, цвета в ассорт</t>
  </si>
  <si>
    <t>ЭЛФ510</t>
  </si>
  <si>
    <t>Таз "Атлант" 28 л, цвета в ассорт</t>
  </si>
  <si>
    <t>ЭЛФ207</t>
  </si>
  <si>
    <t>Таз "Атлант" 45 л,Ø670х190 цвета в ассорт</t>
  </si>
  <si>
    <t>ЭЛФ208</t>
  </si>
  <si>
    <t>Таз "Атлант" 60 л,Ø750х200 цвета в ассорт</t>
  </si>
  <si>
    <t>ЭЛФ507</t>
  </si>
  <si>
    <t>Таз "Атлант" 7,5 л, цвета в ассорт</t>
  </si>
  <si>
    <t>ЭЛФ209</t>
  </si>
  <si>
    <t>Таз "Атлант" 80 л , Ø850х210 цвета в ассорт</t>
  </si>
  <si>
    <t>ЭЛФ074</t>
  </si>
  <si>
    <t>Таз "Изобилие" 11 л мерный (без крышки) Ø395х150 цвета в ассорт</t>
  </si>
  <si>
    <t>ЭЛФ101</t>
  </si>
  <si>
    <t>Таз "Изобилие" 11 л с крышкой мерный цвета в ассорт</t>
  </si>
  <si>
    <t>ЭЛФ075</t>
  </si>
  <si>
    <t>Таз "Изобилие" 15 л мерный (без крышки) цвета в ассорт</t>
  </si>
  <si>
    <t>ЭЛФ102</t>
  </si>
  <si>
    <t>Таз "Изобилие" 15 л с крышкой мерный цвета в ассорт</t>
  </si>
  <si>
    <t>ЭЛФ076</t>
  </si>
  <si>
    <t>Таз "Изобилие" 22 л мерный (без крышки) цвета в ассорт</t>
  </si>
  <si>
    <t>ЭЛФ103</t>
  </si>
  <si>
    <t>Таз "Изобилие" 22 л с крышкой мерный цвета в ассорт</t>
  </si>
  <si>
    <t>ЭЛФ071</t>
  </si>
  <si>
    <t>Таз "Изобилие" 4 л мерный (без крышки) цвета в ассорт</t>
  </si>
  <si>
    <t>ЭЛФ098</t>
  </si>
  <si>
    <t>Таз "Изобилие" 4 л с крышкой мерный цвета в ассорт</t>
  </si>
  <si>
    <t>ЭЛФ072</t>
  </si>
  <si>
    <t>Таз "Изобилие" 6 л мерный (без крышки) цвета в ассорт</t>
  </si>
  <si>
    <t>ЭЛФ099</t>
  </si>
  <si>
    <t>Таз "Изобилие" 6 л с крышкой мерный цвета в ассорт</t>
  </si>
  <si>
    <t>ЭЛФ073</t>
  </si>
  <si>
    <t>Таз "Изобилие" 8 л мерный (без крышки) цвета в ассорт</t>
  </si>
  <si>
    <t>ЭЛФ100</t>
  </si>
  <si>
    <t>Таз "Изобилие" 8 л с крышкой мерный цвета в ассорт</t>
  </si>
  <si>
    <t>ЭЛФ248</t>
  </si>
  <si>
    <t>Таз "Лагуна" 16 л прямоугольный цвета в ассорт</t>
  </si>
  <si>
    <t>ЭЛФ250</t>
  </si>
  <si>
    <t>Таз "Лагуна" 32 л прямоугольный цвета в ассорт</t>
  </si>
  <si>
    <t>ЭЛФ415</t>
  </si>
  <si>
    <t>Таз "Argo" 10 л с декором без крышки 363х170х340 с ручками цвета в ассорт</t>
  </si>
  <si>
    <t>ЭЛФ417</t>
  </si>
  <si>
    <t>Таз "Argo" 10 л с декором с крышкой 363х170х340 с ручками цвета в ассорт</t>
  </si>
  <si>
    <t>ЭЛФ416</t>
  </si>
  <si>
    <t>Таз "Argo" 14 л с декором без крышки цвета в ассорт</t>
  </si>
  <si>
    <t>ЭЛФ418</t>
  </si>
  <si>
    <t>Таз "Argo" 14 л с декором с крышкой цвета в ассорт</t>
  </si>
  <si>
    <t>ЭЛФ481</t>
  </si>
  <si>
    <t>Таз "Argo" 7 л с декором с крышкой цвета в ассорт</t>
  </si>
  <si>
    <t>ЭЛФ645</t>
  </si>
  <si>
    <t>Таз "Flexy" 25 л складной, цвета в ассорт</t>
  </si>
  <si>
    <t>ЭЛФ130</t>
  </si>
  <si>
    <t>Таз 11 л круглый Ø390x100 цвета в ассорт</t>
  </si>
  <si>
    <t>ЭЛФ131</t>
  </si>
  <si>
    <t>Таз 14 л круглый цвета в ассорт</t>
  </si>
  <si>
    <t>ЭЛФ132</t>
  </si>
  <si>
    <t>Таз 20 л круглый цвета в ассорт</t>
  </si>
  <si>
    <t>ЭЛФ128</t>
  </si>
  <si>
    <t>Таз 5 л круглый цвета в ассорт</t>
  </si>
  <si>
    <t>ЭЛФ129</t>
  </si>
  <si>
    <t>Таз 8 л круглый цвета в ассорт</t>
  </si>
  <si>
    <t>ЭЛФ684/367</t>
  </si>
  <si>
    <t>Фляга "Aqualine" 10 л</t>
  </si>
  <si>
    <t>ЭЛФ370</t>
  </si>
  <si>
    <t>Фляга "AquaLine" 20 л</t>
  </si>
  <si>
    <t>ЭЛФ371</t>
  </si>
  <si>
    <t>Фляга "AquaLine" 20 л с краном</t>
  </si>
  <si>
    <t>ЭЛФ372</t>
  </si>
  <si>
    <t>Фляга "AquaLine" 35 л</t>
  </si>
  <si>
    <t>ЭЛФ373</t>
  </si>
  <si>
    <t>Фляга "AquaLine" 35 л с краном</t>
  </si>
  <si>
    <t>ЭЛФ577</t>
  </si>
  <si>
    <t>Фляга "Fortis" 40 л</t>
  </si>
  <si>
    <t>ЭЛФ578</t>
  </si>
  <si>
    <t>Фляга "Fortis" 50 л</t>
  </si>
  <si>
    <t>ЭЛФ579</t>
  </si>
  <si>
    <t>Фляга "Fortis" 66 л</t>
  </si>
  <si>
    <t>ЭЛФ580</t>
  </si>
  <si>
    <t>Фляга "Fortis" 80 л</t>
  </si>
  <si>
    <t>ЭЛФ346</t>
  </si>
  <si>
    <t>Шкатулка "Виола" 3 л</t>
  </si>
  <si>
    <t>ЭЛФ347</t>
  </si>
  <si>
    <t>Шкатулка "Виола" 6 л</t>
  </si>
  <si>
    <t>ЭЛФ529</t>
  </si>
  <si>
    <t>Щетка - скраббер деревянная 23 см</t>
  </si>
  <si>
    <t>ЭЛФ566</t>
  </si>
  <si>
    <t>Щетка - сметка деревянная</t>
  </si>
  <si>
    <t>ЭЛФ253</t>
  </si>
  <si>
    <t>Щетка "Ёжик" 180х480</t>
  </si>
  <si>
    <t>ЭЛФ152</t>
  </si>
  <si>
    <t>Щетка "Стандарт" автомобильная</t>
  </si>
  <si>
    <t>ЭЛФ153</t>
  </si>
  <si>
    <t>Щетка "Стандарт" для ковра</t>
  </si>
  <si>
    <t>ЭЛФ154</t>
  </si>
  <si>
    <t>Щетка "Стандарт" для пола</t>
  </si>
  <si>
    <t>ЭЛФ149</t>
  </si>
  <si>
    <t>Щетка "Утюжок" 140х60х75</t>
  </si>
  <si>
    <t>ЭЛФ581</t>
  </si>
  <si>
    <t>Щетка "Forma" деревянная</t>
  </si>
  <si>
    <t>ЭЛФ647</t>
  </si>
  <si>
    <t>Щетка "Soft"</t>
  </si>
  <si>
    <t>ЭЛФ571</t>
  </si>
  <si>
    <t>Щетка "ZigZag" деревянная</t>
  </si>
  <si>
    <t>ЭЛФ530</t>
  </si>
  <si>
    <t>Щетка для улицы деревянная 30 см</t>
  </si>
  <si>
    <t>ЭЛФ565</t>
  </si>
  <si>
    <t>Щетка для улицы деревянная 40 см</t>
  </si>
  <si>
    <t>ЭЛФ586</t>
  </si>
  <si>
    <t>Щетка для улицы деревянная 50 см</t>
  </si>
  <si>
    <t>ЭЛФ332</t>
  </si>
  <si>
    <t>Щётка универсальная "Prestige"</t>
  </si>
  <si>
    <t>ЭЛФ141</t>
  </si>
  <si>
    <t>Щетка-пылесос "Дуэт"</t>
  </si>
  <si>
    <t>ЭЛФ140</t>
  </si>
  <si>
    <t>Щетка-пылесос "Соло"</t>
  </si>
  <si>
    <t>ЭЛФ142</t>
  </si>
  <si>
    <t>Щетка-пылесос "Трио"</t>
  </si>
  <si>
    <t>ЭЛФ449</t>
  </si>
  <si>
    <t>Ящик для игрушек "KidsBox" (613х408х335) на колёсах,цвета в ассортименте</t>
  </si>
  <si>
    <t>ЭЛФ167</t>
  </si>
  <si>
    <t>Ящик универсальный "Каскад" цвета в ассортименте</t>
  </si>
  <si>
    <t>AKCAM</t>
  </si>
  <si>
    <t>ДЕКОР И СЕРВИРОВКА СТОЛА</t>
  </si>
  <si>
    <t>16502/2-120515</t>
  </si>
  <si>
    <t>БЛЮДО "АМАРАНТОВОЕ СЕЧЕНИЕ" 21*21*1,8 СМ</t>
  </si>
  <si>
    <t>16579/2-120516</t>
  </si>
  <si>
    <t>БЛЮДО "АМАРАНТОВОЕ СЕЧЕНИЕ" 28*28*2 СМ</t>
  </si>
  <si>
    <t>17893/G</t>
  </si>
  <si>
    <t>БЛЮДО "АНТИЧНАЯ РОЗА" 30 СМ ЗОЛОТО 17893/G</t>
  </si>
  <si>
    <t>17893/Р</t>
  </si>
  <si>
    <t>БЛЮДО "АНТИЧНАЯ РОЗА" 30 СМ ПЛАТИНА 17893/Р</t>
  </si>
  <si>
    <t>15772/1</t>
  </si>
  <si>
    <t>БЛЮДО "БАРОККО БЛЭК" 30см 15772/1</t>
  </si>
  <si>
    <t>15772/2</t>
  </si>
  <si>
    <t>БЛЮДО "БАРОККО ГОЛД" 30см 15772/2</t>
  </si>
  <si>
    <t>14484/W</t>
  </si>
  <si>
    <t>БЛЮДО "БЕЛАЯ ЖЕМЧУЖИНА" 21 СМ</t>
  </si>
  <si>
    <t>14485/W</t>
  </si>
  <si>
    <t>БЛЮДО "БЕЛАЯ ЖЕМЧУЖИНА" 28 СМ</t>
  </si>
  <si>
    <t>19131/1-120526</t>
  </si>
  <si>
    <t>БЛЮДО "ВИРОЛЬ БЛАНШ" 28*28*2 СМ, СЕРЕБРО</t>
  </si>
  <si>
    <t>19130/2-120511</t>
  </si>
  <si>
    <t>БЛЮДО "ВИРОЛЬ ШЕР" 21*21*1,5 СМ</t>
  </si>
  <si>
    <t>16265/C-120477</t>
  </si>
  <si>
    <t>БЛЮДО "ВОЛШЕБНАЯ ТЫКВА" 21 СМ ФИОЛЕТОВАЯ</t>
  </si>
  <si>
    <t>16265/O-120476</t>
  </si>
  <si>
    <t>БЛЮДО "ВОЛШЕБНАЯ ТЫКВА" 21*21*2 СМ ОРАНЖЕВОЕ</t>
  </si>
  <si>
    <t>16265/S-120475</t>
  </si>
  <si>
    <t>БЛЮДО "ВОЛШЕБНАЯ ТЫКВА" 21*21*2 СМ СЕРЕБРИСТОЕ</t>
  </si>
  <si>
    <t>16820/Х</t>
  </si>
  <si>
    <t>БЛЮДО "ВЬЮГА" 40 СМ</t>
  </si>
  <si>
    <t>14538</t>
  </si>
  <si>
    <t>БЛЮДО "ГРАНАТ" 21 СМ</t>
  </si>
  <si>
    <t>14533</t>
  </si>
  <si>
    <t>БЛЮДО "ЕЛОЧКА БЕЛОСНЕЖНАЯ" 30 СМ</t>
  </si>
  <si>
    <t>13983</t>
  </si>
  <si>
    <t>БЛЮДО "ЕЛОЧКА В СНЕГУ" 28 СМ</t>
  </si>
  <si>
    <t>14336/G</t>
  </si>
  <si>
    <t>БЛЮДО "ЕЛОЧКА ЗЕЛЕНАЯ" 21 СМ</t>
  </si>
  <si>
    <t>13983/G</t>
  </si>
  <si>
    <t>БЛЮДО "ЕЛОЧКА ЗЕЛЕНАЯ" 28 СМ</t>
  </si>
  <si>
    <t>14337</t>
  </si>
  <si>
    <t>БЛЮДО "ЕЛОЧКА ЗЕЛЕНАЯ" 30 СМ</t>
  </si>
  <si>
    <t>13983/Z</t>
  </si>
  <si>
    <t>БЛЮДО "ЕЛОЧКА ЗОЛОТАЯ" 28 СМ</t>
  </si>
  <si>
    <t>13983/R</t>
  </si>
  <si>
    <t>БЛЮДО "ЕЛОЧКА КРАСНАЯ" 28 СМ</t>
  </si>
  <si>
    <t>16270/G</t>
  </si>
  <si>
    <t>БЛЮДО "ЗВЕЗДА" 17 СМ, золотая</t>
  </si>
  <si>
    <t>16270/R</t>
  </si>
  <si>
    <t>БЛЮДО "ЗВЕЗДА" 17 СМ, красная</t>
  </si>
  <si>
    <t>16270/S</t>
  </si>
  <si>
    <t>БЛЮДО "ЗВЕЗДА" 17 СМ, серебряная</t>
  </si>
  <si>
    <t>14484/G</t>
  </si>
  <si>
    <t>БЛЮДО "ЗОЛОТАЯ ЖЕМЧУЖИНА" 21 СМ</t>
  </si>
  <si>
    <t>14485/G</t>
  </si>
  <si>
    <t>БЛЮДО "ЗОЛОТАЯ ЖЕМЧУЖИНА" 28 СМ</t>
  </si>
  <si>
    <t>14536</t>
  </si>
  <si>
    <t>БЛЮДО "ЗОЛОТОЙ ГРАНАТ" 13 СМ</t>
  </si>
  <si>
    <t>19895</t>
  </si>
  <si>
    <t>БЛЮДО "ЗОЛОТОЙ ЛИСТ" 24 СМ 19895</t>
  </si>
  <si>
    <t>19896</t>
  </si>
  <si>
    <t>БЛЮДО "ЗОЛОТОЙ ЛИСТ" 30 СМ 19896</t>
  </si>
  <si>
    <t>14590/P</t>
  </si>
  <si>
    <t>БЛЮДО "КАРИБСКИЕ КОРАЛЛЫ" 28 СМ</t>
  </si>
  <si>
    <t>19099</t>
  </si>
  <si>
    <t>БЛЮДО "КЛЕНОВЫЙ ЛИСТ" 17 СМ 19099</t>
  </si>
  <si>
    <t>19085</t>
  </si>
  <si>
    <t>БЛЮДО "КЛЕНОВЫЙ ЛИСТ" 21 СМ 19085</t>
  </si>
  <si>
    <t>19086</t>
  </si>
  <si>
    <t>БЛЮДО "КЛЕНОВЫЙ ЛИСТ" 29 СМ 19086</t>
  </si>
  <si>
    <t>17902/G</t>
  </si>
  <si>
    <t>БЛЮДО "КРИСТАЛЛ" 17 СМ, зеленое</t>
  </si>
  <si>
    <t>17902/R</t>
  </si>
  <si>
    <t>БЛЮДО "КРИСТАЛЛ" 17 СМ, красное</t>
  </si>
  <si>
    <t>18936/G</t>
  </si>
  <si>
    <t>БЛЮДО "КРЫЛО АНГЕЛА" 32 СМ, золото</t>
  </si>
  <si>
    <t>18936/S</t>
  </si>
  <si>
    <t>БЛЮДО "КРЫЛО АНГЕЛА" 32 СМ, серебро</t>
  </si>
  <si>
    <t>15719</t>
  </si>
  <si>
    <t>БЛЮДО "ЛАВАНДА" БОЛЬШОЕ 30 СМ арт.15719</t>
  </si>
  <si>
    <t>19308/G</t>
  </si>
  <si>
    <t>БЛЮДО "ЛЕДЯНОЙ ЦВЕТОК" ЗОЛОТО 12 СМ</t>
  </si>
  <si>
    <t>19309/G</t>
  </si>
  <si>
    <t>БЛЮДО "ЛЕДЯНОЙ ЦВЕТОК" ЗОЛОТО 16 СМ</t>
  </si>
  <si>
    <t>19311/G</t>
  </si>
  <si>
    <t>БЛЮДО "ЛЕДЯНОЙ ЦВЕТОК" ЗОЛОТО 22 СМ</t>
  </si>
  <si>
    <t>19308/S</t>
  </si>
  <si>
    <t>БЛЮДО "ЛЕДЯНОЙ ЦВЕТОК" СЕРЕБРО 12 СМ</t>
  </si>
  <si>
    <t>19309/S</t>
  </si>
  <si>
    <t>БЛЮДО "ЛЕДЯНОЙ ЦВЕТОК" СЕРЕБРО 16 СМ</t>
  </si>
  <si>
    <t>19311/S</t>
  </si>
  <si>
    <t>БЛЮДО "ЛЕДЯНОЙ ЦВЕТОК" СЕРЕБРО 22 СМ</t>
  </si>
  <si>
    <t>15432</t>
  </si>
  <si>
    <t>БЛЮДО "ЛЕСНОЕ ЧУДО" 30 СМ () арт.15432</t>
  </si>
  <si>
    <t>15906/В</t>
  </si>
  <si>
    <t>БЛЮДО "ЛУННЫЙ БОСФОР" 30см 15906/В</t>
  </si>
  <si>
    <t>15911/S</t>
  </si>
  <si>
    <t>БЛЮДО "МАЙЯ" 17см 15911/S</t>
  </si>
  <si>
    <t>15912/S</t>
  </si>
  <si>
    <t>БЛЮДО "МАЙЯ" 24см 15912/S</t>
  </si>
  <si>
    <t>15913/S</t>
  </si>
  <si>
    <t>БЛЮДО "МАЙЯ" 28см 15913/S</t>
  </si>
  <si>
    <t>339-185</t>
  </si>
  <si>
    <t>БЛЮДО "МАК" 30СМ 339-185</t>
  </si>
  <si>
    <t>16476/R-120930/120841</t>
  </si>
  <si>
    <t>БЛЮДО "МЕТЕЛИЦА"-"Снежные узоры" 30 СМ КРАСНОЕ</t>
  </si>
  <si>
    <t>14309/R</t>
  </si>
  <si>
    <t>БЛЮДО "МЕТЕЛЬ" 32 СМ</t>
  </si>
  <si>
    <t>13328/R</t>
  </si>
  <si>
    <t>БЛЮДО "МИРАЖ" БОРДО 32 СМ</t>
  </si>
  <si>
    <t>13328/S</t>
  </si>
  <si>
    <t>БЛЮДО "МИРАЖ" ШАМПАНЬ 32 СМ</t>
  </si>
  <si>
    <t>17124/B-120815</t>
  </si>
  <si>
    <t>БЛЮДО "НОВОГОДНИЕ ШАРЫ" 30 СМ СИНИЕ</t>
  </si>
  <si>
    <t>17310/Z</t>
  </si>
  <si>
    <t>БЛЮДО "НОВОГОДНИЙ КАРНАВАЛ" 30 СМ</t>
  </si>
  <si>
    <t>15949/G</t>
  </si>
  <si>
    <t>БЛЮДО "НОВОГОДНЯЯ СКАЗКА" 28 СМ, зеленая</t>
  </si>
  <si>
    <t>15949/R</t>
  </si>
  <si>
    <t>БЛЮДО "НОВОГОДНЯЯ СКАЗКА" 28 СМ, красная</t>
  </si>
  <si>
    <t>15950/G</t>
  </si>
  <si>
    <t>БЛЮДО "НОВОГОДНЯЯ СКАЗКА" 32 СМ, зеленая</t>
  </si>
  <si>
    <t>15950/R</t>
  </si>
  <si>
    <t>БЛЮДО "НОВОГОДНЯЯ СКАЗКА" 32 СМ, красная</t>
  </si>
  <si>
    <t>15796/1</t>
  </si>
  <si>
    <t>БЛЮДО "ПЕЙСЛИ АНТРАЦИТ" 30см 15796/1</t>
  </si>
  <si>
    <t>15741/2</t>
  </si>
  <si>
    <t>БЛЮДО "РИВЬЕРА БРОНЗА" 30см 15741/2</t>
  </si>
  <si>
    <t>15741/1</t>
  </si>
  <si>
    <t>БЛЮДО "РИВЬЕРА ЖЕМЧУГ" 30см 15741/1</t>
  </si>
  <si>
    <t>14333/G</t>
  </si>
  <si>
    <t>БЛЮДО "СЕРДЦЕ" 15 СМ, золотое</t>
  </si>
  <si>
    <t>14333/R</t>
  </si>
  <si>
    <t>БЛЮДО "СЕРДЦЕ" 15 СМ, красное</t>
  </si>
  <si>
    <t>14333/Р</t>
  </si>
  <si>
    <t>БЛЮДО "СЕРДЦЕ" 15 СМ, розовое</t>
  </si>
  <si>
    <t>14038</t>
  </si>
  <si>
    <t>БЛЮДО "СЛАДКИЙ ПОЦЕЛУЙ" 17 СМ, РОЗА</t>
  </si>
  <si>
    <t>14039</t>
  </si>
  <si>
    <t>БЛЮДО "СЛАДКИЙ ПОЦЕЛУЙ" 21 СМ, ЗОЛОТО</t>
  </si>
  <si>
    <t>15906/G</t>
  </si>
  <si>
    <t>БЛЮДО "УТРЕННИЙ БОСФОР" 30см 15906/G</t>
  </si>
  <si>
    <t>14457/R</t>
  </si>
  <si>
    <t>БЛЮДО "ФЕЙЕРВЕРК" 28 CM КРАСНОЕ</t>
  </si>
  <si>
    <t>14457/В</t>
  </si>
  <si>
    <t>БЛЮДО "ФЕЙЕРВЕРК" 28 CM СИНЕЕ</t>
  </si>
  <si>
    <t>14457/G</t>
  </si>
  <si>
    <t>БЛЮДО "ФЕЙЕРВЕРК" 28 CM ШАМПАНЬ</t>
  </si>
  <si>
    <t>18240/В</t>
  </si>
  <si>
    <t>БЛЮДО "ШИШКА" 16 CM</t>
  </si>
  <si>
    <t>18240/Z</t>
  </si>
  <si>
    <t>БЛЮДО "ШИШКА" 16 CM, зеленая</t>
  </si>
  <si>
    <t>18240/G</t>
  </si>
  <si>
    <t>БЛЮДО "ШИШКА" 16 CM, золотая</t>
  </si>
  <si>
    <t>18240/S</t>
  </si>
  <si>
    <t>БЛЮДО "ШИШКА" 16 CM, шампань</t>
  </si>
  <si>
    <t>18241/G</t>
  </si>
  <si>
    <t>БЛЮДО "ШИШКА" 24 CM</t>
  </si>
  <si>
    <t>15726/2</t>
  </si>
  <si>
    <t>БЛЮДО "ЭЛЕОНОРА БРОНЗА" 30см 15726/2</t>
  </si>
  <si>
    <t>15726/1</t>
  </si>
  <si>
    <t>БЛЮДО "ЭЛЕОНОРА ПАТИНА" 30см 15726/1</t>
  </si>
  <si>
    <t>16494/R</t>
  </si>
  <si>
    <t>БЛЮДО "ЭЛИС" 30 СМ АЛЫЙ</t>
  </si>
  <si>
    <t>16494/G</t>
  </si>
  <si>
    <t>БЛЮДО "ЭЛИС" 30 СМ ЗОЛОТО</t>
  </si>
  <si>
    <t>16494/S</t>
  </si>
  <si>
    <t>БЛЮДО "ЭЛИС" 30 СМ ПЛАТИНА</t>
  </si>
  <si>
    <t>15139/339-050</t>
  </si>
  <si>
    <t>БЛЮДО "GALAXY" BLUE 21CM 15139/339-050</t>
  </si>
  <si>
    <t>15140/339-051</t>
  </si>
  <si>
    <t>БЛЮДО "GALAXY" BLUE 30CM 15140/339-051</t>
  </si>
  <si>
    <t>15139/339-052</t>
  </si>
  <si>
    <t>БЛЮДО "GALAXY" BROWN 21CM 15139/339-052</t>
  </si>
  <si>
    <t>15140/1/339-053</t>
  </si>
  <si>
    <t>БЛЮДО "GALAXY" BROWN 30CM 15140/1/339-053</t>
  </si>
  <si>
    <t>16595</t>
  </si>
  <si>
    <t>БЛЮДО "VICTORIA AZZURRO" 16 СМ</t>
  </si>
  <si>
    <t>16595/B</t>
  </si>
  <si>
    <t>БЛЮДО "VICTORIA MARRONE" 16 СМ</t>
  </si>
  <si>
    <t>16595/G</t>
  </si>
  <si>
    <t>БЛЮДО "VICTORIA REGIA" 16 СМ</t>
  </si>
  <si>
    <t>11113</t>
  </si>
  <si>
    <t>БЛЮДО 16 СМ "ЕЛКА" 11113</t>
  </si>
  <si>
    <t>16270</t>
  </si>
  <si>
    <t>БЛЮДО 16 СМ "НОВЫЙ ГОД" 16270</t>
  </si>
  <si>
    <t>19099/GB</t>
  </si>
  <si>
    <t>БЛЮДО 17 СМ "ЛИСТОПАД" 19099/GB</t>
  </si>
  <si>
    <t>11111</t>
  </si>
  <si>
    <t>БЛЮДО 21 СМ "ЕЛКА" 11111</t>
  </si>
  <si>
    <t>15918/G</t>
  </si>
  <si>
    <t>БЛЮДО 21 СМ "ЗОЛОТОЙ КАШТАН" 15918/G</t>
  </si>
  <si>
    <t>15253/Т</t>
  </si>
  <si>
    <t>БЛЮДО 21 СМ "МИРАЖ" 15253/Т</t>
  </si>
  <si>
    <t>16314/YG</t>
  </si>
  <si>
    <t>БЛЮДО 21 СМ "ОСЕННИЙ ЛИСТ ЗЕЛЕНЫЙ" 16314/YG</t>
  </si>
  <si>
    <t>16314/YO</t>
  </si>
  <si>
    <t>БЛЮДО 21 СМ "ОСЕННИЙ ЛИСТ ЯНТАРНЫЙ" 16314/YO</t>
  </si>
  <si>
    <t>18135/GR</t>
  </si>
  <si>
    <t>БЛЮДО 21 СМ "ФЛОРА" 18135/GR</t>
  </si>
  <si>
    <t>15348</t>
  </si>
  <si>
    <t>БЛЮДО 21 CM МОРСКАЯ ЗВЕЗДА КОРИЧНЕВАЯ</t>
  </si>
  <si>
    <t>19085/ВG</t>
  </si>
  <si>
    <t>БЛЮДО 22 СМ "ЛИСТОПАД" 19085/ВG</t>
  </si>
  <si>
    <t>18615W</t>
  </si>
  <si>
    <t>БЛЮДО 23 CM ПОДВОДНЫЙ МИР БЕЛЫЙ</t>
  </si>
  <si>
    <t>18615G</t>
  </si>
  <si>
    <t>БЛЮДО 23 CM ПОДВОДНЫЙ МИР КОРИЧНЕВЫЙ</t>
  </si>
  <si>
    <t>18136/GR</t>
  </si>
  <si>
    <t>БЛЮДО 25 СМ "ФЛОРА" 18136/GR</t>
  </si>
  <si>
    <t>15919/G</t>
  </si>
  <si>
    <t>БЛЮДО 26 СМ "ЗОЛОТОЙ КАШТАН" 15919/G</t>
  </si>
  <si>
    <t>15209</t>
  </si>
  <si>
    <t>БЛЮДО 28 СМ "ГЕЛИОС"</t>
  </si>
  <si>
    <t>13291</t>
  </si>
  <si>
    <t>БЛЮДО 28 СМ "ЛУННЫЙ СВЕТ"</t>
  </si>
  <si>
    <t>16315/YG</t>
  </si>
  <si>
    <t>БЛЮДО 28 СМ "ОСЕННИЙ ЛИСТ ЗЕЛЕНЫЙ" 16315/YG</t>
  </si>
  <si>
    <t>16315/YO</t>
  </si>
  <si>
    <t>БЛЮДО 28 СМ "ОСЕННИЙ ЛИСТ ЯНТАРНЫЙ" 16315/YO</t>
  </si>
  <si>
    <t>18516/S</t>
  </si>
  <si>
    <t>БЛЮДО 28 СМ "ФАНТАЗИЯ" 18516/S</t>
  </si>
  <si>
    <t>16579/5-120796</t>
  </si>
  <si>
    <t>Блюдо 28см "Гранатовое сечение"</t>
  </si>
  <si>
    <t>19086/GB</t>
  </si>
  <si>
    <t>БЛЮДО 29 СМ "ЛИСТОПАД" 19086/GB</t>
  </si>
  <si>
    <t>11112</t>
  </si>
  <si>
    <t>БЛЮДО 30 СМ "ЕЛКА" 11112</t>
  </si>
  <si>
    <t>15254/Т</t>
  </si>
  <si>
    <t>БЛЮДО 30 СМ "МИРАЖ" 15254/Т</t>
  </si>
  <si>
    <t>17310</t>
  </si>
  <si>
    <t>БЛЮДО 30 СМ "НОВЫЙ ГОД" 17310</t>
  </si>
  <si>
    <t>13689</t>
  </si>
  <si>
    <t>БЛЮДО 30 СМ "CRYSTAL"</t>
  </si>
  <si>
    <t>15741/Y</t>
  </si>
  <si>
    <t>БЛЮДО 30 СМ "MARSEILLE"</t>
  </si>
  <si>
    <t>14125</t>
  </si>
  <si>
    <t>БЛЮДО 30 СМ "XMASS" 14125</t>
  </si>
  <si>
    <t>17510</t>
  </si>
  <si>
    <t>БЛЮДО 30 CM АТЛАНТИС</t>
  </si>
  <si>
    <t>18616W</t>
  </si>
  <si>
    <t>БЛЮДО 30 CM ПОДВОДНЫЙ МИР БЕЛЫЙ</t>
  </si>
  <si>
    <t>18616G</t>
  </si>
  <si>
    <t>БЛЮДО 30 CM ПОДВОДНЫЙ МИР КОРИЧНЕВЫЙ</t>
  </si>
  <si>
    <t>15950</t>
  </si>
  <si>
    <t>БЛЮДО 32 СМ "НОВЫЙ ГОД" 15950</t>
  </si>
  <si>
    <t>15486/В</t>
  </si>
  <si>
    <t>БЛЮДО 32 СМ "ОСЕННИЙ ВАЛЬС" 15486/В</t>
  </si>
  <si>
    <t>14865/S</t>
  </si>
  <si>
    <t>БЛЮДО 32 СM "CHRISTMAS CANDY" БЕЛОЕ</t>
  </si>
  <si>
    <t>14865/P</t>
  </si>
  <si>
    <t>БЛЮДО 32 СM "CHRISTMAS CANDY" РОЗОВОЕ</t>
  </si>
  <si>
    <t>17315</t>
  </si>
  <si>
    <t>БЛЮДО 37 СМ "ЛИСТ МАГНОЛИИ" 17315</t>
  </si>
  <si>
    <t>15255/Т</t>
  </si>
  <si>
    <t>БЛЮДО 38 СМ "МИРАЖ" 15255/Т</t>
  </si>
  <si>
    <t>18619W</t>
  </si>
  <si>
    <t>БЛЮДО 40 CM ПОДВОДНЫЙ МИР БЕЛЫЙ</t>
  </si>
  <si>
    <t>18619G</t>
  </si>
  <si>
    <t>БЛЮДО 40 CM ПОДВОДНЫЙ МИР КОРИЧНЕВЫЙ</t>
  </si>
  <si>
    <t>18410/3</t>
  </si>
  <si>
    <t>БЛЮДО БОЛЬШОЕ "АМЕТИСТ" 30см (кор.4шт) 18410/3</t>
  </si>
  <si>
    <t>18411/3</t>
  </si>
  <si>
    <t>БЛЮДО БОЛЬШОЕ "АМЕТИСТ" 40см (кор.4шт) 18411/3</t>
  </si>
  <si>
    <t>18978/1</t>
  </si>
  <si>
    <t>БЛЮДО БОЛЬШОЕ "ВИРДЖИНИЯ АЛМАЗ" 40см (кор.4шт) 18978/1</t>
  </si>
  <si>
    <t>17819/1</t>
  </si>
  <si>
    <t>БЛЮДО БОЛЬШОЕ "ДРЕВО В ЗОЛОТЕ" 30 СМ</t>
  </si>
  <si>
    <t>17819/2</t>
  </si>
  <si>
    <t>БЛЮДО БОЛЬШОЕ "ДРЕВО В СЕРЕБРЕ" 30 СМ</t>
  </si>
  <si>
    <t>17820</t>
  </si>
  <si>
    <t>БЛЮДО БОЛЬШОЕ "ДРЕВО КВАТРО" 40см (кор.4шт) 17820</t>
  </si>
  <si>
    <t>17819</t>
  </si>
  <si>
    <t>БЛЮДО БОЛЬШОЕ "ДРЕВО ТРИАДА" 30см (кор.4шт) 17819</t>
  </si>
  <si>
    <t>339-064</t>
  </si>
  <si>
    <t>БЛЮДО БОЛЬШОЕ "ДРЕВО ТРИАДА" 30см (кор.4шт) 339-064</t>
  </si>
  <si>
    <t>17165/5</t>
  </si>
  <si>
    <t>БЛЮДО БОЛЬШОЕ "ЗОЛОТО ХЮРРЕМ" 40см (кор.4шт) 17165/5</t>
  </si>
  <si>
    <t>17488/1</t>
  </si>
  <si>
    <t>БЛЮДО БОЛЬШОЕ "КВАТРО СЕРЕБРО" 40см (кор.4шт) 17488/1</t>
  </si>
  <si>
    <t>18411/1-120857</t>
  </si>
  <si>
    <t>БЛЮДО БОЛЬШОЕ "ЛУННОЕ СИЯНИЕ" 30 СМ</t>
  </si>
  <si>
    <t>18411/1  /  18410/1</t>
  </si>
  <si>
    <t>БЛЮДО БОЛЬШОЕ "ЛУННОЕ СИЯНИЕ" 30 см (кор.4шт) 18411/1 / 18410/1</t>
  </si>
  <si>
    <t>16497</t>
  </si>
  <si>
    <t>БЛЮДО БОЛЬШОЕ "МАКИ" 30 СМ</t>
  </si>
  <si>
    <t>18410/2</t>
  </si>
  <si>
    <t>БЛЮДО БОЛЬШОЕ "РУБИН" 30см (кор.4шт) 18410/2</t>
  </si>
  <si>
    <t>17488/3</t>
  </si>
  <si>
    <t>БЛЮДО БОЛЬШОЕ "САЛЬВАДОР РОЗА" 40см (кор.4шт) 17488/3</t>
  </si>
  <si>
    <t>17488/4</t>
  </si>
  <si>
    <t>БЛЮДО БОЛЬШОЕ "САЛЬВАДОР ЭБРУ" 40см (кор.4шт) 17488/4</t>
  </si>
  <si>
    <t>17164/4</t>
  </si>
  <si>
    <t>БЛЮДО БОЛЬШОЕ "СЕРЕБРО ХЮРРЕМ" 30 см (кор.4шт) 17164/4</t>
  </si>
  <si>
    <t>18865</t>
  </si>
  <si>
    <t>БЛЮДО БОЛЬШОЕ "СЕРЕБРЯНЫЙ ТУМАН" 30см (кор.4шт) 18865</t>
  </si>
  <si>
    <t>16626/4</t>
  </si>
  <si>
    <t>БЛЮДО БОЛЬШОЕ "СУМЕРКИ В ТРОПИКАХ" 40 СМ</t>
  </si>
  <si>
    <t>17164/1</t>
  </si>
  <si>
    <t>БЛЮДО БОЛЬШОЕ "ХЮРРЕМ БИРЮЗА" 30см (кор.4шт)17164/1</t>
  </si>
  <si>
    <t>17467</t>
  </si>
  <si>
    <t>БЛЮДО БОЛЬШОЕ «КАМЕННЫЙ ЦВЕТОК» 30 CM (кор.4шт) 17467</t>
  </si>
  <si>
    <t>13390</t>
  </si>
  <si>
    <t>БЛЮДО БОЛЬШОЕ 40 СМ "ДИВО"</t>
  </si>
  <si>
    <t>17365</t>
  </si>
  <si>
    <t>БЛЮДО БОЛЬШОЕ 40 СМ "ЭЛЛАДА"</t>
  </si>
  <si>
    <t>16497A</t>
  </si>
  <si>
    <t>БЛЮДО БОЛЬШОЕ НА НОЖКЕ "МАКИ" 30 СМ</t>
  </si>
  <si>
    <t>16492A</t>
  </si>
  <si>
    <t>БЛЮДО БОЛЬШОЕ НА НОЖКЕ "РОМАШКА" 30 СМ</t>
  </si>
  <si>
    <t>17547/3</t>
  </si>
  <si>
    <t>БЛЮДО ГЛУБОКОЕ "АМЕТИСТ" 25см без упаковки (кор.4шт) 17547/3</t>
  </si>
  <si>
    <t>14867/S</t>
  </si>
  <si>
    <t>БЛЮДО ГЛУБОКОЕ "АУРА" 20 СМ БЕЛОЕ СЕРЕБРО</t>
  </si>
  <si>
    <t>14867/G</t>
  </si>
  <si>
    <t>БЛЮДО ГЛУБОКОЕ "АУРА" 20 СМ ГОЛУБОЕ СЕРЕБРО</t>
  </si>
  <si>
    <t>14870/S</t>
  </si>
  <si>
    <t>БЛЮДО ГЛУБОКОЕ "АУРА" 30 СМ БЕЛОЕ СЕРЕБРО</t>
  </si>
  <si>
    <t>14870/G</t>
  </si>
  <si>
    <t>БЛЮДО ГЛУБОКОЕ "АУРА" 30 СМ ГОЛУБОЕ СЕРЕБРО</t>
  </si>
  <si>
    <t>13398</t>
  </si>
  <si>
    <t>БЛЮДО ГЛУБОКОЕ "ВОСТОРГ" 30 СМ</t>
  </si>
  <si>
    <t>19303</t>
  </si>
  <si>
    <t>БЛЮДО ГЛУБОКОЕ "ЛЕДЯНОЙ ЦВЕТОК" ЗОЛОТО 30 СМ</t>
  </si>
  <si>
    <t>17547/1</t>
  </si>
  <si>
    <t>БЛЮДО ГЛУБОКОЕ "ЛУННОЕ СИЯНИЕ" 25см без упаковки (кор.4шт ) 17547/1</t>
  </si>
  <si>
    <t>18233/W</t>
  </si>
  <si>
    <t>БЛЮДО ГЛУБОКОЕ "ТАЕЖНАЯ СКАЗКА" 30 CM, белое</t>
  </si>
  <si>
    <t>18233/R</t>
  </si>
  <si>
    <t>БЛЮДО ГЛУБОКОЕ "ТАЕЖНАЯ СКАЗКА" 30 CM, красное</t>
  </si>
  <si>
    <t>18266</t>
  </si>
  <si>
    <t>БЛЮДО ГЛУБОКОЕ 25 СМ "ГЕРБЕРА"</t>
  </si>
  <si>
    <t>12286</t>
  </si>
  <si>
    <t>БЛЮДО ГЛУБОКОЕ 30 CM "МОРСКАЯ СТИХИЯ"</t>
  </si>
  <si>
    <t>БЛЮДО ГЛУБОКОЕ 30СМ XMAS PINE КРАСНЫЙ арт .18233/R</t>
  </si>
  <si>
    <t>17480</t>
  </si>
  <si>
    <t>БЛЮДО ГЛУБОКОЕ 40 CM "МОРСКОЙ ВИХРЬ"</t>
  </si>
  <si>
    <t>16624/3</t>
  </si>
  <si>
    <t>БЛЮДО МАЛОЕ "ЗНОЙНЫЕ ТРОПИКИ" 21 СМ</t>
  </si>
  <si>
    <t>17363</t>
  </si>
  <si>
    <t>БЛЮДО МАЛОЕ 21 СМ "ЭЛЛАДА"</t>
  </si>
  <si>
    <t>17856A/AK</t>
  </si>
  <si>
    <t>БЛЮДО НА НОЖКЕ "АЙВОРИ - КОРАЛЛЫ" 21 СМ</t>
  </si>
  <si>
    <t>17909А/G</t>
  </si>
  <si>
    <t>БЛЮДО НА НОЖКЕ "АНТИЧНАЯ РОЗА" 28 СМ ЗОЛОТО 17909А/G</t>
  </si>
  <si>
    <t>17909А/Р</t>
  </si>
  <si>
    <t>БЛЮДО НА НОЖКЕ "АНТИЧНАЯ РОЗА" 28 СМ ПЛАТИНА 17909А/Р</t>
  </si>
  <si>
    <t>16897A</t>
  </si>
  <si>
    <t>БЛЮДО НА НОЖКЕ "БАРОККО" 20 СМ</t>
  </si>
  <si>
    <t>16898A</t>
  </si>
  <si>
    <t>БЛЮДО НА НОЖКЕ "БАРОККО" 30 СМ</t>
  </si>
  <si>
    <t>16577A/2</t>
  </si>
  <si>
    <t>БЛЮДО НА НОЖКЕ "БУРГУНДСКАЯ КУВШИНКА" 16 СМ</t>
  </si>
  <si>
    <t>16578A/2</t>
  </si>
  <si>
    <t>БЛЮДО НА НОЖКЕ "БУРГУНДСКАЯ КУВШИНКА" 21 СМ</t>
  </si>
  <si>
    <t>16579A/2</t>
  </si>
  <si>
    <t>БЛЮДО НА НОЖКЕ "БУРГУНДСКАЯ КУВШИНКА" 28 СМ</t>
  </si>
  <si>
    <t>16468А/1</t>
  </si>
  <si>
    <t>БЛЮДО НА НОЖКЕ "ВДОХНОВЕНИЕ" ЗЕЛЕНОЕ КРУГЛОЕ 28CM ВЫСОТА 14,5СМ 16468А/1</t>
  </si>
  <si>
    <t>16470А/1</t>
  </si>
  <si>
    <t>БЛЮДО НА НОЖКЕ "ВДОХНОВЕНИЕ" ЗЕЛЕНОЕ ОВАЛЬНОЕ 22CM 16470А/1</t>
  </si>
  <si>
    <t>16468А/339-063</t>
  </si>
  <si>
    <t>БЛЮДО НА НОЖКЕ "ВДОХНОВЕНИЕ" КРУГЛОЕ 28CM Н=14,5СМ 16468А/339-063</t>
  </si>
  <si>
    <t>16577A/1</t>
  </si>
  <si>
    <t>БЛЮДО НА НОЖКЕ "ЗОЛОТАЯ КУВШИНКА" 16 СМ</t>
  </si>
  <si>
    <t>16578A/1</t>
  </si>
  <si>
    <t>БЛЮДО НА НОЖКЕ "ЗОЛОТАЯ КУВШИНКА" 21 СМ</t>
  </si>
  <si>
    <t>16579A/1</t>
  </si>
  <si>
    <t>БЛЮДО НА НОЖКЕ "ЗОЛОТАЯ КУВШИНКА" 28 СМ</t>
  </si>
  <si>
    <t>17856A/OM</t>
  </si>
  <si>
    <t>БЛЮДО НА НОЖКЕ "КАПУЧИНО - МОККО " 21 СМ</t>
  </si>
  <si>
    <t>17857A/KA</t>
  </si>
  <si>
    <t>БЛЮДО НА НОЖКЕ "КОРАЛЛЫ - АЙВОРИ " 28 СМ</t>
  </si>
  <si>
    <t>16577A/4</t>
  </si>
  <si>
    <t>БЛЮДО НА НОЖКЕ "КУВШИНКА ИНДИАНА" 16 СМ</t>
  </si>
  <si>
    <t>16578A/4</t>
  </si>
  <si>
    <t>БЛЮДО НА НОЖКЕ "КУВШИНКА ИНДИАНА" 21 СМ</t>
  </si>
  <si>
    <t>16579A/4</t>
  </si>
  <si>
    <t>БЛЮДО НА НОЖКЕ "КУВШИНКА ИНДИАНА" 28 СМ (4 арт.16579A/4</t>
  </si>
  <si>
    <t>16577A/3</t>
  </si>
  <si>
    <t>БЛЮДО НА НОЖКЕ "КУВШИНКА НИМФЕЯ" 16 СМ</t>
  </si>
  <si>
    <t>16578A/3</t>
  </si>
  <si>
    <t>БЛЮДО НА НОЖКЕ "КУВШИНКА НИМФЕЯ" 21 СМ</t>
  </si>
  <si>
    <t>16579A/3</t>
  </si>
  <si>
    <t>БЛЮДО НА НОЖКЕ "КУВШИНКА НИМФЕЯ" 28 СМ</t>
  </si>
  <si>
    <t>17857A/MO</t>
  </si>
  <si>
    <t>БЛЮДО НА НОЖКЕ "МОККО - КАПУЧИНО" 28 СМ</t>
  </si>
  <si>
    <t>18410/А/2</t>
  </si>
  <si>
    <t>БЛЮДО НА НОЖКЕ "РУБИН" 30 см (высота ножки 6см) (кор.4шт) 18410/А/2</t>
  </si>
  <si>
    <t>14459A/R</t>
  </si>
  <si>
    <t>БЛЮДО НА НОЖКЕ "ФЕЙЕРВЕРК" 21 CM КРАСНЫЙ</t>
  </si>
  <si>
    <t>14459A/B</t>
  </si>
  <si>
    <t>БЛЮДО НА НОЖКЕ "ФЕЙЕРВЕРК" 21 CM СИНИЙ</t>
  </si>
  <si>
    <t>14459A/G</t>
  </si>
  <si>
    <t>БЛЮДО НА НОЖКЕ "ФЕЙЕРВЕРК" 21 CM ШАМПАНЬ</t>
  </si>
  <si>
    <t>339-104/0541</t>
  </si>
  <si>
    <t>БЛЮДО НА НОЖКЕ "GALAXY" BLUE 30CM 339-104/0541</t>
  </si>
  <si>
    <t>15140/339-054</t>
  </si>
  <si>
    <t>БЛЮДО НА НОЖКЕ "GALAXY" BROWN 30CM 15140/339-054</t>
  </si>
  <si>
    <t>16471А/1</t>
  </si>
  <si>
    <t>БЛЮДО НА НОЖКЕ "INSPIRATION GREEN" ОВАЛЬНОЕ 30CM !!!!</t>
  </si>
  <si>
    <t>16470 А/339-061</t>
  </si>
  <si>
    <t>БЛЮДО НА НОЖКЕ "INSPIRATION" ОВАЛЬНОЕ 22CM 16470 A/339-061</t>
  </si>
  <si>
    <t>16471А/339-062</t>
  </si>
  <si>
    <t>БЛЮДО НА НОЖКЕ "INSPIRATION" ОВАЛЬНОЕ 30CM (3) 16471А/339-062</t>
  </si>
  <si>
    <t>16595A/G</t>
  </si>
  <si>
    <t>БЛЮДО НА НОЖКЕ "VICTORIA AZZURRO" 16 СМ</t>
  </si>
  <si>
    <t>16579А</t>
  </si>
  <si>
    <t>БЛЮДО НА НОЖКЕ "VICTORIA AZZURRO" 28 СМ</t>
  </si>
  <si>
    <t>16595A/B</t>
  </si>
  <si>
    <t>БЛЮДО НА НОЖКЕ "VICTORIA MARRONE" 16 СМ</t>
  </si>
  <si>
    <t>16595A</t>
  </si>
  <si>
    <t>БЛЮДО НА НОЖКЕ "VICTORIA REGIA" 16 СМ</t>
  </si>
  <si>
    <t>13255А-1075</t>
  </si>
  <si>
    <t>БЛЮДО НА НОЖКЕ 15 СМ "SILVER FROST"</t>
  </si>
  <si>
    <t>15220-1794А</t>
  </si>
  <si>
    <t>БЛЮДО НА НОЖКЕ 16 СМ "ГЕЛИОС"</t>
  </si>
  <si>
    <t>16470A/BR</t>
  </si>
  <si>
    <t>БЛЮДО НА НОЖКЕ 20 СМ "INSPIRATION AMBER" 16470A/BR</t>
  </si>
  <si>
    <t>13853А-1793/А</t>
  </si>
  <si>
    <t>БЛЮДО НА НОЖКЕ 21 СМ "АГАВА"</t>
  </si>
  <si>
    <t>15221-1794А</t>
  </si>
  <si>
    <t>БЛЮДО НА НОЖКЕ 21 СМ "ГЕЛИОС"</t>
  </si>
  <si>
    <t>16578A/5-120795</t>
  </si>
  <si>
    <t>Блюдо на ножке 21 см "Гранатовое сечение"</t>
  </si>
  <si>
    <t>13403А-1794</t>
  </si>
  <si>
    <t>БЛЮДО НА НОЖКЕ 21 СМ "ДИВО"</t>
  </si>
  <si>
    <t>13071-1081А</t>
  </si>
  <si>
    <t>БЛЮДО НА НОЖКЕ 21 СМ "ЛУННЫЙ СВЕТ"</t>
  </si>
  <si>
    <t>13850А-1789/О</t>
  </si>
  <si>
    <t>БЛЮДО НА НОЖКЕ 21 СМ "ОРЕОЛ"</t>
  </si>
  <si>
    <t>13845А-1794</t>
  </si>
  <si>
    <t>БЛЮДО НА НОЖКЕ 21 СМ "ORO"</t>
  </si>
  <si>
    <t>13853А-1793/R</t>
  </si>
  <si>
    <t>БЛЮДО НА НОЖКЕ 21 СМ "RIO"</t>
  </si>
  <si>
    <t>13256А-1081</t>
  </si>
  <si>
    <t>БЛЮДО НА НОЖКЕ 21 СМ "SILVER FROST"</t>
  </si>
  <si>
    <t>13257А-1082</t>
  </si>
  <si>
    <t>БЛЮДО НА НОЖКЕ 24 СМ "SILVER FROST"</t>
  </si>
  <si>
    <t>15222-1795А</t>
  </si>
  <si>
    <t>БЛЮДО НА НОЖКЕ 26 СМ "ГЕЛИОС"</t>
  </si>
  <si>
    <t>13072-1081А</t>
  </si>
  <si>
    <t>БЛЮДО НА НОЖКЕ 26 СМ "ЛУННЫЙ СВЕТ"</t>
  </si>
  <si>
    <t>13855А-1794/А</t>
  </si>
  <si>
    <t>БЛЮДО НА НОЖКЕ 28 СМ "АГАВА"</t>
  </si>
  <si>
    <t>13851А-1794/О</t>
  </si>
  <si>
    <t>БЛЮДО НА НОЖКЕ 28 СМ "ОРЕОЛ"</t>
  </si>
  <si>
    <t>13855А-1792</t>
  </si>
  <si>
    <t>БЛЮДО НА НОЖКЕ 28 СМ "ORO"</t>
  </si>
  <si>
    <t>13855А-1794/R</t>
  </si>
  <si>
    <t>БЛЮДО НА НОЖКЕ 28 СМ "RIO"</t>
  </si>
  <si>
    <t>13250А</t>
  </si>
  <si>
    <t>БЛЮДО НА НОЖКЕ 28 СМ () арт.13250А</t>
  </si>
  <si>
    <t>15903А</t>
  </si>
  <si>
    <t>БЛЮДО НА НОЖКЕ 28СМ "ЗОЛОТО БОСФОРА" арт.15903А</t>
  </si>
  <si>
    <t>13854-1795/А</t>
  </si>
  <si>
    <t>БЛЮДО НА НОЖКЕ 30 СМ "АГАВА"</t>
  </si>
  <si>
    <t>13405А-1795</t>
  </si>
  <si>
    <t>БЛЮДО НА НОЖКЕ 30 СМ "ДИВО"</t>
  </si>
  <si>
    <t>14658A</t>
  </si>
  <si>
    <t>БЛЮДО НА НОЖКЕ 30 СМ "НОКТЮРН"</t>
  </si>
  <si>
    <t>13689А-1795</t>
  </si>
  <si>
    <t>БЛЮДО НА НОЖКЕ 30 СМ "CRYSTAL"</t>
  </si>
  <si>
    <t>16471A/B</t>
  </si>
  <si>
    <t>БЛЮДО НА НОЖКЕ 30 СМ "INSPIRATION AMBER" 16471A/B</t>
  </si>
  <si>
    <t>13249</t>
  </si>
  <si>
    <t>БЛЮДО НА НОЖКЕ САНТАНА 21 СМ В РАЗОБРАННОМ ВИДЕ</t>
  </si>
  <si>
    <t>13250</t>
  </si>
  <si>
    <t>БЛЮДО НА НОЖКЕ САНТАНА 28 СМ В РАЗОБРАННОМ ВИДЕ</t>
  </si>
  <si>
    <t>14183А/T</t>
  </si>
  <si>
    <t>БЛЮДО НА НОЖКЕ ТРЕНД "GREEN TEA" 21 СМ</t>
  </si>
  <si>
    <t>14182А/L</t>
  </si>
  <si>
    <t>БЛЮДО НА НОЖКЕ ТРЕНД "LAVENDER" 18 СМ</t>
  </si>
  <si>
    <t>14129/В</t>
  </si>
  <si>
    <t>БЛЮДО НОВОГОДНЕЕ 32 СМ СИНЕЕ</t>
  </si>
  <si>
    <t>18663/3</t>
  </si>
  <si>
    <t>БЛЮДО ОВАЛЬНОЕ "АМЕТИСТ" 40см (кор.4шт) 18663/3</t>
  </si>
  <si>
    <t>14492/W</t>
  </si>
  <si>
    <t>БЛЮДО ОВАЛЬНОЕ "БЕЛАЯ ЖЕМЧУЖИНА" 25 СМ</t>
  </si>
  <si>
    <t>17797</t>
  </si>
  <si>
    <t>БЛЮДО ОВАЛЬНОЕ "ДРЕВО ТРИАДА" З0 СМ 17797</t>
  </si>
  <si>
    <t>14490/G</t>
  </si>
  <si>
    <t>БЛЮДО ОВАЛЬНОЕ "ЗОЛОТАЯ ЖЕМЧУЖИНА" 15 СМ</t>
  </si>
  <si>
    <t>14491/G</t>
  </si>
  <si>
    <t>БЛЮДО ОВАЛЬНОЕ "ЗОЛОТАЯ ЖЕМЧУЖИНА" 20 СМ</t>
  </si>
  <si>
    <t>18661/1</t>
  </si>
  <si>
    <t>БЛЮДО ОВАЛЬНОЕ "ЛУННОЕ СИЯНИЕ" 20см без упаковки (кор.4шт)18661/1</t>
  </si>
  <si>
    <t>18663/1-120856</t>
  </si>
  <si>
    <t>БЛЮДО ОВАЛЬНОЕ "ЛУННОЕ СИЯНИЕ" 40 СМ</t>
  </si>
  <si>
    <t>18663/1</t>
  </si>
  <si>
    <t>БЛЮДО ОВАЛЬНОЕ "ЛУННОЕ СИЯНИЕ" 40см (кор.4шт)18663/1</t>
  </si>
  <si>
    <t>18661/2</t>
  </si>
  <si>
    <t>БЛЮДО ОВАЛЬНОЕ "РУБИН" 20см без упаковки (кор.6шт) 18661/2</t>
  </si>
  <si>
    <t>17168/4</t>
  </si>
  <si>
    <t>БЛЮДО ОВАЛЬНОЕ "СЕРЕБРО ХЮРРЕМ" 40 см (кор.4шт) 17168/4</t>
  </si>
  <si>
    <t>14407</t>
  </si>
  <si>
    <t>БЛЮДО ОВАЛЬНОЕ "СИЯНИЕ НОЧИ" 15 см (кор.16 шт.) 14407</t>
  </si>
  <si>
    <t>14408</t>
  </si>
  <si>
    <t>БЛЮДО ОВАЛЬНОЕ "СИЯНИЕ НОЧИ" 21 см (кор.6 шт.) 14408</t>
  </si>
  <si>
    <t>14409</t>
  </si>
  <si>
    <t>БЛЮДО ОВАЛЬНОЕ "СИЯНИЕ НОЧИ" 30 см (кор.4 шт.) 14409</t>
  </si>
  <si>
    <t>17168/3</t>
  </si>
  <si>
    <t>БЛЮДО ОВАЛЬНОЕ "ХЮРРЕМ ИЗУМРУД" 40см (кор.4шт) 17168/3</t>
  </si>
  <si>
    <t>18241/Q</t>
  </si>
  <si>
    <t>БЛЮДО ОВАЛЬНОЕ "ШИШКА" 24 CM, коричневый</t>
  </si>
  <si>
    <t>17470</t>
  </si>
  <si>
    <t>БЛЮДО ОВАЛЬНОЕ «КАМЕННЫЙ ЦВЕТОК» 30 CM (кор.4шт) арт.17470</t>
  </si>
  <si>
    <t>14408А</t>
  </si>
  <si>
    <t>БЛЮДО ОВАЛЬНОЕ НА НОЖКЕ "СИЯНИЕ НОЧИ" 21 см (кор.6 шт.) 14408А</t>
  </si>
  <si>
    <t>14409А</t>
  </si>
  <si>
    <t>БЛЮДО ОВАЛЬНОЕ НА НОЖКЕ "СИЯНИЕ НОЧИ" 30 см (кор.4 шт.) 14409А</t>
  </si>
  <si>
    <t>19313</t>
  </si>
  <si>
    <t>БЛЮДО ПЛОСКОЕ "ЛЕДЯНОЙ ЦВЕТОК" СЕРЕБРО 30 СМ</t>
  </si>
  <si>
    <t>17754</t>
  </si>
  <si>
    <t>БЛЮДО ПЛОСКОЕ 34 СМ "ГЕРБЕРА"</t>
  </si>
  <si>
    <t>17773/2</t>
  </si>
  <si>
    <t>БЛЮДО ПРЯМОУГОЛЬНОЕ "АКВАМАРИН" 27X14 СМ</t>
  </si>
  <si>
    <t>17774/2</t>
  </si>
  <si>
    <t>БЛЮДО ПРЯМОУГОЛЬНОЕ "АКВАМАРИН" 34X17 СМ</t>
  </si>
  <si>
    <t>17786/2</t>
  </si>
  <si>
    <t>БЛЮДО ПРЯМОУГОЛЬНОЕ "АКВАМАРИН" 42X20 СМ</t>
  </si>
  <si>
    <t>17786/1</t>
  </si>
  <si>
    <t>БЛЮДО ПРЯМОУГОЛЬНОЕ БОЛЬШОЕ "ОПАЛ БЕЛЫЙ" 42X20 СМ</t>
  </si>
  <si>
    <t>17774/1</t>
  </si>
  <si>
    <t>БЛЮДО ПРЯМОУГОЛЬНОЕ СРЕДНЕЕ "ОПАЛ БЕЛЫЙ" 34X17 СМ</t>
  </si>
  <si>
    <t>17487/3</t>
  </si>
  <si>
    <t>БЛЮДО СРЕДНЕЕ "САЛЬВАДОР РОЗА" 30 см (кор.4шт) арт.17487/3</t>
  </si>
  <si>
    <t>13389</t>
  </si>
  <si>
    <t>БЛЮДО СРЕДНЕЕ 30 СМ "ДИВО"</t>
  </si>
  <si>
    <t>17364</t>
  </si>
  <si>
    <t>БЛЮДО СРЕДНЕЕ 30 СМ "ЭЛЛАДА"</t>
  </si>
  <si>
    <t>14182/T</t>
  </si>
  <si>
    <t>БЛЮДО ТРЕНД "GREEN TEA" 18 СМ</t>
  </si>
  <si>
    <t>14183/T</t>
  </si>
  <si>
    <t>БЛЮДО ТРЕНД "GREEN TEA" 21 СМ</t>
  </si>
  <si>
    <t>14184/T</t>
  </si>
  <si>
    <t>БЛЮДО ТРЕНД "GREEN TEA" 28 СМ</t>
  </si>
  <si>
    <t>14185/T</t>
  </si>
  <si>
    <t>БЛЮДО ТРЕНД "GREEN TEA" 32 СМ</t>
  </si>
  <si>
    <t>14184/L</t>
  </si>
  <si>
    <t>БЛЮДО ТРЕНД "LAVENDER" 28 СМ</t>
  </si>
  <si>
    <t>14185/L</t>
  </si>
  <si>
    <t>БЛЮДО ТРЕНД "LAVENDER" 32 СМ</t>
  </si>
  <si>
    <t>17474</t>
  </si>
  <si>
    <t>БОЛЬШАЯ ТАРЕЛКА «КАМЕННЫЙ ЦВЕТОК» 34 CM (кор.6шт) 17474</t>
  </si>
  <si>
    <t>12208</t>
  </si>
  <si>
    <t>ВАЗА 23 СМ "XMASS" 12208</t>
  </si>
  <si>
    <t>58506/G</t>
  </si>
  <si>
    <t>ВАЗОЧКА 350 мл "ГРАНАТ" ЗОЛОТОЙ</t>
  </si>
  <si>
    <t>58506</t>
  </si>
  <si>
    <t>ВАЗОЧКА 350 мл "ГРАНАТ" ПУРПУРНЫЙ</t>
  </si>
  <si>
    <t>13853</t>
  </si>
  <si>
    <t>ГЛУБОКАЯ ТАРЕЛКА 21 CM "ИЛЛЮЗИЯ"</t>
  </si>
  <si>
    <t>13855</t>
  </si>
  <si>
    <t>ГЛУБОКАЯ ТАРЕЛКА 28 CM "ИЛЛЮЗИЯ"</t>
  </si>
  <si>
    <t>19554/G</t>
  </si>
  <si>
    <t>ГЛУБОКИЙ САЛАТНИК 22 СМ "ЗОЛОТОЕ СЕЧЕНИЕ" 19554/G</t>
  </si>
  <si>
    <t>19552/G</t>
  </si>
  <si>
    <t>ГЛУБОКИЙ САЛАТНИК 30 СМ "ЗОЛОТОЕ СЕЧЕНИЕ" 19552/G</t>
  </si>
  <si>
    <t>15037/P</t>
  </si>
  <si>
    <t>КВАДРАТНЫЙ САЛАТНИК "ЗНОЙНОЕ ЛЕТО - АКВАМАРИН" 14 СМ</t>
  </si>
  <si>
    <t>15038/P</t>
  </si>
  <si>
    <t>КВАДРАТНЫЙ САЛАТНИК "ЗНОЙНОЕ ЛЕТО - АКВАМАРИН" 18 СМ</t>
  </si>
  <si>
    <t>15039/P</t>
  </si>
  <si>
    <t>КВАДРАТНЫЙ САЛАТНИК "ЗНОЙНОЕ ЛЕТО - АКВАМАРИН" 25 СМ</t>
  </si>
  <si>
    <t>15037/G</t>
  </si>
  <si>
    <t>КВАДРАТНЫЙ САЛАТНИК "ЗНОЙНОЕ ЛЕТО - ЛАЙМ" 14 СМ</t>
  </si>
  <si>
    <t>15038/G</t>
  </si>
  <si>
    <t>КВАДРАТНЫЙ САЛАТНИК "ЗНОЙНОЕ ЛЕТО - ЛАЙМ" 18 СМ</t>
  </si>
  <si>
    <t>15039/G</t>
  </si>
  <si>
    <t>КВАДРАТНЫЙ САЛАТНИК "ЗНОЙНОЕ ЛЕТО - ЛАЙМ" 25 СМ</t>
  </si>
  <si>
    <t>15037/Y</t>
  </si>
  <si>
    <t>КВАДРАТНЫЙ САЛАТНИК "ЗНОЙНОЕ ЛЕТО - ЛИМОН" 14 СМ</t>
  </si>
  <si>
    <t>15038/Y</t>
  </si>
  <si>
    <t>КВАДРАТНЫЙ САЛАТНИК "ЗНОЙНОЕ ЛЕТО - ЛИМОН" 18 СМ</t>
  </si>
  <si>
    <t>15039/Y</t>
  </si>
  <si>
    <t>КВАДРАТНЫЙ САЛАТНИК "ЗНОЙНОЕ ЛЕТО - ЛИМОН" 25 СМ</t>
  </si>
  <si>
    <t>17907А/G</t>
  </si>
  <si>
    <t>КОНФЕТНИЦА "АНТИЧНАЯ РОЗА" 15 СМ ЗОЛОТО 17907А/G</t>
  </si>
  <si>
    <t>17907А/Р</t>
  </si>
  <si>
    <t>КОНФЕТНИЦА "АНТИЧНАЯ РОЗА" 15 СМ ПЛАТИНА 17907А/Р</t>
  </si>
  <si>
    <t>13686А-1793</t>
  </si>
  <si>
    <t>КРЕМАНКА 11 СМ "CRYSTAL"</t>
  </si>
  <si>
    <t>13687А-1794</t>
  </si>
  <si>
    <t>КРЕМАНКА 15 СМ "CRYSTAL"</t>
  </si>
  <si>
    <t>13843А-1793/R</t>
  </si>
  <si>
    <t>КРЕМАНКА 15 СМ "RIO"</t>
  </si>
  <si>
    <t>17472</t>
  </si>
  <si>
    <t>МАЛЕНЬКАЯ ТАРЕЛКА «КАМЕННЫЙ ЦВЕТОК» 21 CM (кор.8шт) 17472</t>
  </si>
  <si>
    <t>23344/B</t>
  </si>
  <si>
    <t>НАБОР "FOOD APPELAL" 18 ПРЕДМЕТОВ "BLACK IRIS"</t>
  </si>
  <si>
    <t>15908</t>
  </si>
  <si>
    <t>НАБОР ИЗ ДВУХ ПИАЛ 13 СМ И 16 СМ арт.15908</t>
  </si>
  <si>
    <t>14402/R</t>
  </si>
  <si>
    <t>ОВАЛЬНЫЙ САЛАТНИК "ФЕЙЕРВЕРК" 21 CM КРАСНЫЙ</t>
  </si>
  <si>
    <t>14402/B</t>
  </si>
  <si>
    <t>ОВАЛЬНЫЙ САЛАТНИК "ФЕЙЕРВЕРК" 21 CM СИНИЙ</t>
  </si>
  <si>
    <t>14402/G</t>
  </si>
  <si>
    <t>ОВАЛЬНЫЙ САЛАТНИК "ФЕЙЕРВЕРК" 21 CM ШАМПАНЬ</t>
  </si>
  <si>
    <t>14092РG</t>
  </si>
  <si>
    <t>ПИАЛА "ВЕСЕННИЙ ЦВЕТОК" 15 СМ () арт.14092РG</t>
  </si>
  <si>
    <t>13686</t>
  </si>
  <si>
    <t>ПИАЛА 11 СМ "CRYSTAL"</t>
  </si>
  <si>
    <t>13938/I</t>
  </si>
  <si>
    <t>ПИАЛА 13 СМ "IZMIR"</t>
  </si>
  <si>
    <t>13687</t>
  </si>
  <si>
    <t>ПИАЛА 15 СМ "CRYSTAL"</t>
  </si>
  <si>
    <t>13939/I</t>
  </si>
  <si>
    <t>ПИАЛА 15 СМ "IZMIR"</t>
  </si>
  <si>
    <t>13844</t>
  </si>
  <si>
    <t>ПИАЛА 18 CM "ИЛЛЮЗИЯ"</t>
  </si>
  <si>
    <t>14405</t>
  </si>
  <si>
    <t>ПИАЛА КРУГЛАЯ "СИЯНИЕ НОЧИ" 13 см (кор. 16 шт.) 14405</t>
  </si>
  <si>
    <t>20427</t>
  </si>
  <si>
    <t>ПОДСТАВКА ПОД БЛЮДО 10 СМ</t>
  </si>
  <si>
    <t>54238А</t>
  </si>
  <si>
    <t>ПОДСТАВКА ПОД БЛЮДО 9 СМ</t>
  </si>
  <si>
    <t>17855/AK</t>
  </si>
  <si>
    <t>САЛАТНИК "АЙВОРИ - КОРАЛЛЫ" 15 CM</t>
  </si>
  <si>
    <t>17850/AK</t>
  </si>
  <si>
    <t>САЛАТНИК "АЙВОРИ - КОРАЛЛЫ" 9 CM</t>
  </si>
  <si>
    <t>14866/S</t>
  </si>
  <si>
    <t>САЛАТНИК "АУРА" 15 СМ БЕЛОЕ СЕРЕБРО</t>
  </si>
  <si>
    <t>14866/G</t>
  </si>
  <si>
    <t>САЛАТНИК "АУРА" 15 СМ ГОЛУБОЕ СЕРЕБРО</t>
  </si>
  <si>
    <t>339-192</t>
  </si>
  <si>
    <t>САЛАТНИК "БЕЛЫЙ ЦВЕТОК" 15СМ 339-192</t>
  </si>
  <si>
    <t>16063/G</t>
  </si>
  <si>
    <t>САЛАТНИК "ВСПЛЕСК" 20 СМ, золотой</t>
  </si>
  <si>
    <t>16063/R</t>
  </si>
  <si>
    <t>САЛАТНИК "ВСПЛЕСК" 20 СМ, красный</t>
  </si>
  <si>
    <t>14538/1</t>
  </si>
  <si>
    <t>САЛАТНИК "ИЗОБИЛИЕ" 21 СМ</t>
  </si>
  <si>
    <t>17855/OM</t>
  </si>
  <si>
    <t>САЛАТНИК "КАПУЧИНО - МОККО" 15 CM</t>
  </si>
  <si>
    <t>17850/OM</t>
  </si>
  <si>
    <t>САЛАТНИК "КАПУЧИНО - МОККО" 9 CM</t>
  </si>
  <si>
    <t>17868/KA</t>
  </si>
  <si>
    <t>САЛАТНИК "КОРАЛЛЫ - АЙВОРИ" 13 CM ()</t>
  </si>
  <si>
    <t>17855/KA</t>
  </si>
  <si>
    <t>САЛАТНИК "КОРАЛЛЫ - АЙВОРИ" 15 CM</t>
  </si>
  <si>
    <t>17850/KA</t>
  </si>
  <si>
    <t>САЛАТНИК "КОРАЛЛЫ - АЙВОРИ" 9 CM</t>
  </si>
  <si>
    <t>17855/MO</t>
  </si>
  <si>
    <t>САЛАТНИК "МОККО - КАПУЧИНО" 15 CM</t>
  </si>
  <si>
    <t>17850/MO</t>
  </si>
  <si>
    <t>САЛАТНИК "МОККО - КАПУЧИНО" 9 CM</t>
  </si>
  <si>
    <t>14548/Р</t>
  </si>
  <si>
    <t>САЛАТНИК "РОЗОВЫЙ СОН" 20 СМ</t>
  </si>
  <si>
    <t>16202/G</t>
  </si>
  <si>
    <t>САЛАТНИК "ТОРЖЕСТВО" 20 СМ, золото</t>
  </si>
  <si>
    <t>16202/S</t>
  </si>
  <si>
    <t>САЛАТНИК "ТОРЖЕСТВО" 20 СМ, серебро</t>
  </si>
  <si>
    <t>14445/R</t>
  </si>
  <si>
    <t>САЛАТНИК "ФЕЙЕРВЕРК"13 СМ КРАСНЫЙ</t>
  </si>
  <si>
    <t>14445/B</t>
  </si>
  <si>
    <t>САЛАТНИК "ФЕЙЕРВЕРК"13 СМ СИНИЙ</t>
  </si>
  <si>
    <t>14445/G</t>
  </si>
  <si>
    <t>САЛАТНИК "ФЕЙЕРВЕРК"13 СМ ШАМПАНЬ</t>
  </si>
  <si>
    <t>14447/R</t>
  </si>
  <si>
    <t>САЛАТНИК "ФЕЙЕРВЕРК"21 СМ КРАСНЫЙ</t>
  </si>
  <si>
    <t>14447/В</t>
  </si>
  <si>
    <t>САЛАТНИК "ФЕЙЕРВЕРК"21 СМ СИНИЙ</t>
  </si>
  <si>
    <t>14447/G</t>
  </si>
  <si>
    <t>САЛАТНИК "ФЕЙЕРВЕРК"21 СМ ШАМПАНЬ</t>
  </si>
  <si>
    <t>14447</t>
  </si>
  <si>
    <t>САЛАТНИК "GREEN TEA" 21 СМ</t>
  </si>
  <si>
    <t>16459/1</t>
  </si>
  <si>
    <t>САЛАТНИК "INSPIRATION GREEN" 15CM 16459/1</t>
  </si>
  <si>
    <t>16472/1</t>
  </si>
  <si>
    <t>САЛАТНИК "INSPIRATION GREEN" 21CM 16472/1</t>
  </si>
  <si>
    <t>16460/1</t>
  </si>
  <si>
    <t>САЛАТНИК "INSPIRATION GREEN" 22CM 16460/1</t>
  </si>
  <si>
    <t>16473/1</t>
  </si>
  <si>
    <t>САЛАТНИК "INSPIRATION GREEN" 30CM 16473/1</t>
  </si>
  <si>
    <t>16459/339-057</t>
  </si>
  <si>
    <t>САЛАТНИК "INSPIRATION" 15CM 16459/339-057</t>
  </si>
  <si>
    <t>16472/339-056</t>
  </si>
  <si>
    <t>САЛАТНИК "INSPIRATION" 21CM 16472/339-056</t>
  </si>
  <si>
    <t>16460/339-060</t>
  </si>
  <si>
    <t>САЛАТНИК "INSPIRATION" 22CM 16460/339-060</t>
  </si>
  <si>
    <t>16473/339-055</t>
  </si>
  <si>
    <t>САЛАТНИК "INSPIRATION" 30CM 16473/339-055</t>
  </si>
  <si>
    <t>13281/B</t>
  </si>
  <si>
    <t>САЛАТНИК 15 СМ "АКВАРЕЛЬ" БИРЮЗА</t>
  </si>
  <si>
    <t>13281/G</t>
  </si>
  <si>
    <t>САЛАТНИК 15 СМ "АКВАРЕЛЬ" ЗОЛОТОЙ ПЕСОК</t>
  </si>
  <si>
    <t>13281/P</t>
  </si>
  <si>
    <t>САЛАТНИК 15 СМ "АКВАРЕЛЬ" РОЗА</t>
  </si>
  <si>
    <t>15207</t>
  </si>
  <si>
    <t>САЛАТНИК 15 СМ "ГЕЛИОС"</t>
  </si>
  <si>
    <t>15483/G</t>
  </si>
  <si>
    <t>САЛАТНИК 15 СМ "ЗОЛОТАЯ ОСЕНЬ" 15483/G</t>
  </si>
  <si>
    <t>13289</t>
  </si>
  <si>
    <t>САЛАТНИК 15 СМ "ЛУННЫЙ СВЕТ"</t>
  </si>
  <si>
    <t>14635</t>
  </si>
  <si>
    <t>САЛАТНИК 15 СМ "НОКТЮРН"</t>
  </si>
  <si>
    <t>15483/В</t>
  </si>
  <si>
    <t>САЛАТНИК 15 СМ "ОСЕННИЙ ВАЛЬС" 15483/В</t>
  </si>
  <si>
    <t>17361</t>
  </si>
  <si>
    <t>САЛАТНИК 15 СМ "ЭЛЛАДА"</t>
  </si>
  <si>
    <t>13383/U</t>
  </si>
  <si>
    <t>САЛАТНИК 15 СМ "AURORA"</t>
  </si>
  <si>
    <t>13383</t>
  </si>
  <si>
    <t>САЛАТНИК 15 СМ "NORTH WIND"</t>
  </si>
  <si>
    <t>13843/R</t>
  </si>
  <si>
    <t>САЛАТНИК 15 СМ "RIO"</t>
  </si>
  <si>
    <t>13844/А</t>
  </si>
  <si>
    <t>САЛАТНИК 18 СМ "АГАВА"</t>
  </si>
  <si>
    <t>13844/R</t>
  </si>
  <si>
    <t>САЛАТНИК 18 СМ "RIO"</t>
  </si>
  <si>
    <t>15740/Y</t>
  </si>
  <si>
    <t>САЛАТНИК 20 СМ "MARSEILLE"</t>
  </si>
  <si>
    <t>16460/В</t>
  </si>
  <si>
    <t>САЛАТНИК 21 СМ "INSPIRATION AMBER" 16460/В</t>
  </si>
  <si>
    <t>13845/R</t>
  </si>
  <si>
    <t>САЛАТНИК 21 СМ "RIO"</t>
  </si>
  <si>
    <t>13256</t>
  </si>
  <si>
    <t>САЛАТНИК 21 СМ "SILVER FROST"</t>
  </si>
  <si>
    <t>13257</t>
  </si>
  <si>
    <t>САЛАТНИК 24 СМ "SILVER FROST"</t>
  </si>
  <si>
    <t>12189</t>
  </si>
  <si>
    <t>САЛАТНИК 27 СМ "ДАРЫ САДА - БАКЛАЖАН"</t>
  </si>
  <si>
    <t>12190</t>
  </si>
  <si>
    <t>САЛАТНИК 30 СМ "ДАРЫ САДА - БАКЛАЖАН"</t>
  </si>
  <si>
    <t>17684/J</t>
  </si>
  <si>
    <t>САЛАТНИК 30 СМ "ДАРЫ САДА - ЛИМОН"</t>
  </si>
  <si>
    <t>17685/J</t>
  </si>
  <si>
    <t>САЛАТНИК 35 СМ "ДАРЫ САДА - ЛИМОН"</t>
  </si>
  <si>
    <t>17685</t>
  </si>
  <si>
    <t>14671/1</t>
  </si>
  <si>
    <t>САЛАТНИК ГЛУБОКИЙ "ВИРДЖИНИЯ ЖЕМЧУЖНАЯ ЗОЛОТО" 22 СМ</t>
  </si>
  <si>
    <t>14671/2</t>
  </si>
  <si>
    <t>САЛАТНИК ГЛУБОКИЙ "ВИРДЖИНИЯ ЖЕМЧУЖНАЯ СЕРЕБРО" 22 СМ</t>
  </si>
  <si>
    <t>13871</t>
  </si>
  <si>
    <t>САЛАТНИК ГЛУБОКИЙ 15 СМ "ОЛИВКОВАЯ РОЩА"</t>
  </si>
  <si>
    <t>13871/G</t>
  </si>
  <si>
    <t>САЛАТНИК ГЛУБОКИЙ 15 СМ "ОЛИВКОВАЯ РОЩА" ЗЕЛЕНЫЙ</t>
  </si>
  <si>
    <t>16408</t>
  </si>
  <si>
    <t>САЛАТНИК КРУГЛЫЙ "СИЯНИЕ НОЧИ" 15 см (кор. 8 шт.) 16408</t>
  </si>
  <si>
    <t>15618/B</t>
  </si>
  <si>
    <t>САЛАТНИК СРЕДНИЙ "ГЛОРИЯ" 21 СМ СИНИЙ арт.15618/B</t>
  </si>
  <si>
    <t>17473</t>
  </si>
  <si>
    <t>СРЕДНЯЯ ТАРЕЛКА «КАМЕННЫЙ ЦВЕТОК» 28 CM (кор.6шт) 17473</t>
  </si>
  <si>
    <t>19352-19668/2</t>
  </si>
  <si>
    <t>СТОЙКА ДВУХЪЯРУСНАЯ "АКВАМАРИН" 21,28 СМ (1шт.в кор) арт.19352-19668/2</t>
  </si>
  <si>
    <t>15768-69/1</t>
  </si>
  <si>
    <t>СТОЙКА ДВУХЪЯРУСНАЯ "БАРОККО БЛЭК" 21,28см 15768-69/1</t>
  </si>
  <si>
    <t>15768-69/2</t>
  </si>
  <si>
    <t>СТОЙКА ДВУХЪЯРУСНАЯ "БАРОККО ГОЛД" 21,28см 15768-69/2</t>
  </si>
  <si>
    <t>16502-579/2</t>
  </si>
  <si>
    <t>СТОЙКА ДВУХЪЯРУСНАЯ "БУРГУНДСКАЯ КУВШИНКА" 21 / 28 СМ</t>
  </si>
  <si>
    <t>16297-16296/2</t>
  </si>
  <si>
    <t>СТОЙКА ДВУХЪЯРУСНАЯ "ЖАСМИН" КРАСНЫЙ 21,28 СМ (кор.4шт) арт.16297-16296/2</t>
  </si>
  <si>
    <t>16297-16296/3</t>
  </si>
  <si>
    <t>СТОЙКА ДВУХЪЯРУСНАЯ "ЖАСМИН" КРЕМОВАЯ 21,28 СМ (кор.4шт) арт.16297-16296/3</t>
  </si>
  <si>
    <t>16467-68</t>
  </si>
  <si>
    <t>СТОЙКА ДВУХЪЯРУСНАЯ "ЖЕМЧУГ" 21 / 28 СМ</t>
  </si>
  <si>
    <t>16502-579/1</t>
  </si>
  <si>
    <t>СТОЙКА ДВУХЪЯРУСНАЯ "ЗОЛОТАЯ КУВШИНКА" 21 / 28 СМ</t>
  </si>
  <si>
    <t>19130-19131/2</t>
  </si>
  <si>
    <t>СТОЙКА ДВУХЪЯРУСНАЯ "ЗОЛОТАЯ РОССЫПЬ" 21,28см (кор.1шт) арт.19130-19131/2</t>
  </si>
  <si>
    <t>16502-579/4</t>
  </si>
  <si>
    <t>СТОЙКА ДВУХЪЯРУСНАЯ "КУВШИНКА ИНДИАНА" 21 / 28 СМ</t>
  </si>
  <si>
    <t>16502-579/3</t>
  </si>
  <si>
    <t>СТОЙКА ДВУХЪЯРУСНАЯ "КУВШИНКА НИМФЕЯ" 21 / 28 СМ</t>
  </si>
  <si>
    <t>3/19130-19131</t>
  </si>
  <si>
    <t>СТОЙКА ДВУХЪЯРУСНАЯ "МЕРЦАНИЕ НОЧИ" 21,28см (кор.1шт) арт.3/19130-19131</t>
  </si>
  <si>
    <t>19352-19668/1</t>
  </si>
  <si>
    <t>СТОЙКА ДВУХЪЯРУСНАЯ "ОПАЛ БЕЛЫЙ" 21,28 СМ (1шт.в кор.) арт.19352-19668/1</t>
  </si>
  <si>
    <t>15792-93/1</t>
  </si>
  <si>
    <t>СТОЙКА ДВУХЪЯРУСНАЯ "ПЕЙСЛИ АНТРАЦИТ" 21,28см 15792-93/1</t>
  </si>
  <si>
    <t>15792-93/2</t>
  </si>
  <si>
    <t>СТОЙКА ДВУХЪЯРУСНАЯ "ПЕЙСЛИ ЗОЛОТО" 21,28см 15792-93/2</t>
  </si>
  <si>
    <t>17190-17169/2</t>
  </si>
  <si>
    <t>СТОЙКА ДВУХЪЯРУСНАЯ "ПЛАМЯ ХЮРРЕМ" 21 / 28 СМ (кор.1шт) арт.17190-17169/2</t>
  </si>
  <si>
    <t>15737-38/2</t>
  </si>
  <si>
    <t>СТОЙКА ДВУХЪЯРУСНАЯ "РИВЬЕРА БРОНЗА" 21,28см 15737-38/2</t>
  </si>
  <si>
    <t>15737-38/1</t>
  </si>
  <si>
    <t>СТОЙКА ДВУХЪЯРУСНАЯ "РИВЬЕРА ЖЕМЧУГ" 21,28см 15737-38/1</t>
  </si>
  <si>
    <t>1/19130-19131</t>
  </si>
  <si>
    <t>СТОЙКА ДВУХЪЯРУСНАЯ "СЕВЕРНАЯ ЗВЕЗДА" 21,28см (кор.1шт) арт.1/19130-19131</t>
  </si>
  <si>
    <t>16297-16296/S</t>
  </si>
  <si>
    <t>СТОЙКА ДВУХЪЯРУСНАЯ "ФИАЛКА" 21,28 СМ(Серебро) (кор.1шт) арт.16297-16296/S</t>
  </si>
  <si>
    <t>17190-17169/1</t>
  </si>
  <si>
    <t>СТОЙКА ДВУХЪЯРУСНАЯ "ХЮРРЕМ БИРЮЗА" 21 / 28 СМ (кор.1шт) арт.17190-17169/1</t>
  </si>
  <si>
    <t>17190-17169/3</t>
  </si>
  <si>
    <t>СТОЙКА ДВУХЪЯРУСНАЯ "ХЮРРЕМ ИЗУМРУД" 21 / 28 СМ (кор.1шт) арт.17190-17169/3</t>
  </si>
  <si>
    <t>15722-23/2</t>
  </si>
  <si>
    <t>СТОЙКА ДВУХЪЯРУСНАЯ "ЭЛЕОНОРА БРОНЗА" 21,28см 15722-23/2</t>
  </si>
  <si>
    <t>15722-23/1</t>
  </si>
  <si>
    <t>СТОЙКА ДВУХЪЯРУСНАЯ "ЭЛЕОНОРА ПАТИНА" 21,28см 15722-23/1</t>
  </si>
  <si>
    <t>15139-40</t>
  </si>
  <si>
    <t>СТОЙКА ДВУХЪЯРУСНАЯ "GALAXY" BLUE 21,30 СМ 15139-40</t>
  </si>
  <si>
    <t>СТОЙКА ДВУХЪЯРУСНАЯ "GALAXY" BROWN 21,30 СМ 15139-40</t>
  </si>
  <si>
    <t>16467-68/1</t>
  </si>
  <si>
    <t>СТОЙКА ДВУХЪЯРУСНАЯ "INSPIRATION GREEN" 21,28 CM 16467-68/1</t>
  </si>
  <si>
    <t>СТОЙКА ДВУХЪЯРУСНАЯ "INSPIRATION" 21,28 CM 16467-68</t>
  </si>
  <si>
    <t>17856/A</t>
  </si>
  <si>
    <t>ТАРЕЛКА "АЙВОРИ" 21 СМ</t>
  </si>
  <si>
    <t>17857/A</t>
  </si>
  <si>
    <t>ТАРЕЛКА "АЙВОРИ" 28 СМ</t>
  </si>
  <si>
    <t>17285/A</t>
  </si>
  <si>
    <t>ТАРЕЛКА "АЙВОРИ" 32 СМ</t>
  </si>
  <si>
    <t>19352/2</t>
  </si>
  <si>
    <t>ТАРЕЛКА "АКВАМАРИН" 21 СМ</t>
  </si>
  <si>
    <t>19668/2</t>
  </si>
  <si>
    <t>ТАРЕЛКА "АКВАМАРИН" 28 СМ</t>
  </si>
  <si>
    <t>19669/2</t>
  </si>
  <si>
    <t>ТАРЕЛКА "АКВАМАРИН" 32 СМ</t>
  </si>
  <si>
    <t>17908/G</t>
  </si>
  <si>
    <t>ТАРЕЛКА "АНТИЧНАЯ РОЗА" 21 СМ ЗОЛОТО 17908/G</t>
  </si>
  <si>
    <t>17908/Р</t>
  </si>
  <si>
    <t>ТАРЕЛКА "АНТИЧНАЯ РОЗА" 21 СМ ПЛАТИНА 17908/Р</t>
  </si>
  <si>
    <t>17909/G</t>
  </si>
  <si>
    <t>ТАРЕЛКА "АНТИЧНАЯ РОЗА" 28 СМ ЗОЛОТО 17909/G</t>
  </si>
  <si>
    <t>17909/Р</t>
  </si>
  <si>
    <t>ТАРЕЛКА "АНТИЧНАЯ РОЗА" 28 СМ ПЛАТИНА 17909/Р</t>
  </si>
  <si>
    <t>17910/G</t>
  </si>
  <si>
    <t>ТАРЕЛКА "АНТИЧНАЯ РОЗА" 32 СМ ЗОЛОТО 17910/G</t>
  </si>
  <si>
    <t>17910/Р</t>
  </si>
  <si>
    <t>ТАРЕЛКА "АНТИЧНАЯ РОЗА" 32 СМ ПЛАТИНА 17910/Р</t>
  </si>
  <si>
    <t>14872/S</t>
  </si>
  <si>
    <t>ТАРЕЛКА "АУРА" 21 СМ БЕЛОЕ СЕРЕБРО</t>
  </si>
  <si>
    <t>14872/G</t>
  </si>
  <si>
    <t>ТАРЕЛКА "АУРА" 21 СМ ГОЛУБОЕ СЕРЕБРО</t>
  </si>
  <si>
    <t>14873/S</t>
  </si>
  <si>
    <t>ТАРЕЛКА "АУРА" 28 СМ БЕЛОЕ СЕРЕБРО</t>
  </si>
  <si>
    <t>14873/G</t>
  </si>
  <si>
    <t>ТАРЕЛКА "АУРА" 28 СМ ГОЛУБОЕ СЕРЕБРО</t>
  </si>
  <si>
    <t>14874/S</t>
  </si>
  <si>
    <t>ТАРЕЛКА "АУРА" 32 СМ БЕЛОЕ СЕРЕБРО</t>
  </si>
  <si>
    <t>14874/G</t>
  </si>
  <si>
    <t>ТАРЕЛКА "АУРА" 32 СМ ГОЛУБОЕ СЕРЕБРО</t>
  </si>
  <si>
    <t>17422</t>
  </si>
  <si>
    <t>ТАРЕЛКА "БАБОЧКА" 21см 17422</t>
  </si>
  <si>
    <t>15768/1</t>
  </si>
  <si>
    <t>ТАРЕЛКА "БАРОККО БЛЭК" 21см 15768/1</t>
  </si>
  <si>
    <t>15769/1</t>
  </si>
  <si>
    <t>ТАРЕЛКА "БАРОККО БЛЭК" 28см 15769/1</t>
  </si>
  <si>
    <t>15770/1</t>
  </si>
  <si>
    <t>ТАРЕЛКА "БАРОККО БЛЭК" 32см 15770/1</t>
  </si>
  <si>
    <t>15768/2</t>
  </si>
  <si>
    <t>ТАРЕЛКА "БАРОККО ГОЛД" 21см 15768/2</t>
  </si>
  <si>
    <t>15769/2</t>
  </si>
  <si>
    <t>ТАРЕЛКА "БАРОККО ГОЛД" 28см 15769/2</t>
  </si>
  <si>
    <t>15770/2</t>
  </si>
  <si>
    <t>ТАРЕЛКА "БАРОККО ГОЛД" 32см 15770/2</t>
  </si>
  <si>
    <t>339-191</t>
  </si>
  <si>
    <t>ТАРЕЛКА "БЕЛЫЙ ЦВЕТОК" 21СМ 339-191</t>
  </si>
  <si>
    <t>16502/2</t>
  </si>
  <si>
    <t>ТАРЕЛКА "БУРГУНДСКАЯ КУВШИНКА" 21 СМ</t>
  </si>
  <si>
    <t>16579/2</t>
  </si>
  <si>
    <t>ТАРЕЛКА "БУРГУНДСКАЯ КУВШИНКА" 28 СМ</t>
  </si>
  <si>
    <t>16580/2</t>
  </si>
  <si>
    <t>ТАРЕЛКА "БУРГУНДСКАЯ КУВШИНКА" 32 СМ</t>
  </si>
  <si>
    <t>15092/В</t>
  </si>
  <si>
    <t>ТАРЕЛКА "ВАРЕЖКА САНТЫ" 23 СМ () арт.15092/В</t>
  </si>
  <si>
    <t>15566</t>
  </si>
  <si>
    <t>ТАРЕЛКА "ВЕСЕННИЙ ЛУГ" 28см 15566</t>
  </si>
  <si>
    <t>16554</t>
  </si>
  <si>
    <t>ТАРЕЛКА "ВИНТАЖ" 21см без упаковки (кор.8шт) 16554</t>
  </si>
  <si>
    <t>16555</t>
  </si>
  <si>
    <t>ТАРЕЛКА "ВИНТАЖ" 28см без упаковки (кор.6шт) 16555</t>
  </si>
  <si>
    <t>16556</t>
  </si>
  <si>
    <t>ТАРЕЛКА "ВИНТАЖ" 32см без упаковки (кор.6шт) 16556</t>
  </si>
  <si>
    <t>17290/1</t>
  </si>
  <si>
    <t>ТАРЕЛКА "ВИРДЖИНИЯ АЛМАЗ" 21см без упаковки (кор 8шт) 17290/1</t>
  </si>
  <si>
    <t>18291/1</t>
  </si>
  <si>
    <t>ТАРЕЛКА "ВИРДЖИНИЯ АЛМАЗ" 28см (кор 6шт) 18291/1</t>
  </si>
  <si>
    <t>14674/1</t>
  </si>
  <si>
    <t>ТАРЕЛКА "ВИРДЖИНИЯ ЖЕМЧУЖНАЯ ЗОЛОТО" 21 СМ</t>
  </si>
  <si>
    <t>14675/1</t>
  </si>
  <si>
    <t>ТАРЕЛКА "ВИРДЖИНИЯ ЖЕМЧУЖНАЯ ЗОЛОТО" 28 СМ</t>
  </si>
  <si>
    <t>14674/2</t>
  </si>
  <si>
    <t>ТАРЕЛКА "ВИРДЖИНИЯ ЖЕМЧУЖНАЯ СЕРЕБРО" 21 СМ</t>
  </si>
  <si>
    <t>14675/2</t>
  </si>
  <si>
    <t>ТАРЕЛКА "ВИРДЖИНИЯ ЖЕМЧУЖНАЯ СЕРЕБРО"28 СМ</t>
  </si>
  <si>
    <t>14674/G</t>
  </si>
  <si>
    <t>ТАРЕЛКА "ВИРДЖИНИЯ ЗОЛОТО" 21 СМ</t>
  </si>
  <si>
    <t>14675/G</t>
  </si>
  <si>
    <t>ТАРЕЛКА "ВИРДЖИНИЯ ЗОЛОТО" 28 СМ</t>
  </si>
  <si>
    <t>14676/G</t>
  </si>
  <si>
    <t>ТАРЕЛКА "ВИРДЖИНИЯ ЗОЛОТО" 32 СМ</t>
  </si>
  <si>
    <t>14674/S</t>
  </si>
  <si>
    <t>ТАРЕЛКА "ВИРДЖИНИЯ СЕРЕБРО" 21 СМ</t>
  </si>
  <si>
    <t>14675/S</t>
  </si>
  <si>
    <t>ТАРЕЛКА "ВИРДЖИНИЯ СЕРЕБРО" 28 СМ</t>
  </si>
  <si>
    <t>14676/S</t>
  </si>
  <si>
    <t>ТАРЕЛКА "ВИРДЖИНИЯ СЕРЕБРО" 32 СМ</t>
  </si>
  <si>
    <t>17291/2</t>
  </si>
  <si>
    <t>ТАРЕЛКА "ВИРДЖИНИЯ ХРУСТАЛЬ" 28см (кор.6шт) 17291/2</t>
  </si>
  <si>
    <t>13394</t>
  </si>
  <si>
    <t>ТАРЕЛКА "ВОСТОРГ" 21 СМ</t>
  </si>
  <si>
    <t>13395</t>
  </si>
  <si>
    <t>ТАРЕЛКА "ВОСТОРГ" 28 СМ</t>
  </si>
  <si>
    <t>16066/R</t>
  </si>
  <si>
    <t>ТАРЕЛКА "ВСПЛЕСК" 21 СМ, красный</t>
  </si>
  <si>
    <t>16067/G</t>
  </si>
  <si>
    <t>ТАРЕЛКА "ВСПЛЕСК" 28 СМ, золотой</t>
  </si>
  <si>
    <t>16067/R</t>
  </si>
  <si>
    <t>ТАРЕЛКА "ВСПЛЕСК" 28 СМ, красный</t>
  </si>
  <si>
    <t>16068/G</t>
  </si>
  <si>
    <t>ТАРЕЛКА "ВСПЛЕСК" 32 СМ, золотой</t>
  </si>
  <si>
    <t>16068/R</t>
  </si>
  <si>
    <t>ТАРЕЛКА "ВСПЛЕСК" 32 СМ, красный</t>
  </si>
  <si>
    <t>15902/R</t>
  </si>
  <si>
    <t>ТАРЕЛКА "ГАРМОНИЯ" КРАСНАЯ 21СМ арт.15902/R</t>
  </si>
  <si>
    <t>15615/G</t>
  </si>
  <si>
    <t>ТАРЕЛКА "ГЛОРИЯ" 21 СМ ЗОЛОТАЯ арт.15615/G</t>
  </si>
  <si>
    <t>15615/B</t>
  </si>
  <si>
    <t>ТАРЕЛКА "ГЛОРИЯ" 21 СМ СИНЯЯ арт.15615/B</t>
  </si>
  <si>
    <t>15616/G</t>
  </si>
  <si>
    <t>ТАРЕЛКА "ГЛОРИЯ" 28 СМ ЗОЛОТАЯ</t>
  </si>
  <si>
    <t>15616/S</t>
  </si>
  <si>
    <t>ТАРЕЛКА "ГЛОРИЯ" 28 СМ СЕРЕБРЯНАЯ арт.15616/S</t>
  </si>
  <si>
    <t>15616/B</t>
  </si>
  <si>
    <t>ТАРЕЛКА "ГЛОРИЯ" 28 СМ СИНЯЯ арт.15616/B</t>
  </si>
  <si>
    <t>16502/5</t>
  </si>
  <si>
    <t>ТАРЕЛКА "ГРАНАТ" 21 СМ арт.16502/5</t>
  </si>
  <si>
    <t>14540</t>
  </si>
  <si>
    <t>ТАРЕЛКА "ГРАНАТ" 28 СМ</t>
  </si>
  <si>
    <t>16579/5</t>
  </si>
  <si>
    <t>ТАРЕЛКА "ГРАНАТ" 28 СМ арт.16579/5</t>
  </si>
  <si>
    <t>14541</t>
  </si>
  <si>
    <t>ТАРЕЛКА "ГРАНАТ" 32 СМ</t>
  </si>
  <si>
    <t>17811/2</t>
  </si>
  <si>
    <t>ТАРЕЛКА "ДРЕВО В СЕРЕБРЕ" 21 СМ</t>
  </si>
  <si>
    <t>15094/В</t>
  </si>
  <si>
    <t>ТАРЕЛКА "ЗВЕЗДА САНТЫ" 23 СМ</t>
  </si>
  <si>
    <t>16836/R-120837</t>
  </si>
  <si>
    <t>ТАРЕЛКА "ЗВЕЗДА ЦВЕТОК" 21 СМ</t>
  </si>
  <si>
    <t>13301/W</t>
  </si>
  <si>
    <t>ТАРЕЛКА "ЗВЕЗДНОЕ НЕБО" 21 СМ, ДЕНЬ</t>
  </si>
  <si>
    <t>13301/В</t>
  </si>
  <si>
    <t>ТАРЕЛКА "ЗВЕЗДНОЕ НЕБО" 21 СМ, НОЧЬ</t>
  </si>
  <si>
    <t>13302/W</t>
  </si>
  <si>
    <t>ТАРЕЛКА "ЗВЕЗДНОЕ НЕБО" 28 СМ, ДЕНЬ</t>
  </si>
  <si>
    <t>13302/В</t>
  </si>
  <si>
    <t>ТАРЕЛКА "ЗВЕЗДНОЕ НЕБО" 28 СМ, НОЧЬ</t>
  </si>
  <si>
    <t>17223</t>
  </si>
  <si>
    <t>ТАРЕЛКА "ЗОЛОТАЯ ЕЛОЧКА" 20 СМ () арт.17223</t>
  </si>
  <si>
    <t>16502/1</t>
  </si>
  <si>
    <t>ТАРЕЛКА "ЗОЛОТАЯ КУВШИНКА" 21 СМ</t>
  </si>
  <si>
    <t>16579/1</t>
  </si>
  <si>
    <t>ТАРЕЛКА "ЗОЛОТАЯ КУВШИНКА" 28 СМ</t>
  </si>
  <si>
    <t>16580/1</t>
  </si>
  <si>
    <t>ТАРЕЛКА "ЗОЛОТАЯ КУВШИНКА" 32 СМ</t>
  </si>
  <si>
    <t>19130/2</t>
  </si>
  <si>
    <t>ТАРЕЛКА "ЗОЛОТАЯ РОССЫПЬ" 21см без упаковки (кор.8шт) 19130/2</t>
  </si>
  <si>
    <t>19131/2</t>
  </si>
  <si>
    <t>ТАРЕЛКА "ЗОЛОТАЯ РОССЫПЬ" 28 см (кор.6шт) 19131/2</t>
  </si>
  <si>
    <t>19132/2</t>
  </si>
  <si>
    <t>ТАРЕЛКА "ЗОЛОТАЯ РОССЫПЬ" 33см (кор.6шт) 19132/2</t>
  </si>
  <si>
    <t>17169/5</t>
  </si>
  <si>
    <t>ТАРЕЛКА "ЗОЛОТО ХЮРРЕМ" 21см (кор.8шт) 17169/5</t>
  </si>
  <si>
    <t>17290/G</t>
  </si>
  <si>
    <t>ТАРЕЛКА "ЗОЛОТОЕ КРУЖЕВО" 21 СМ</t>
  </si>
  <si>
    <t>17291/G</t>
  </si>
  <si>
    <t>ТАРЕЛКА "ЗОЛОТОЕ КРУЖЕВО" 28 СМ</t>
  </si>
  <si>
    <t>17856/O</t>
  </si>
  <si>
    <t>ТАРЕЛКА "КАПУЧИНО" 21 СМ</t>
  </si>
  <si>
    <t>17857/O</t>
  </si>
  <si>
    <t>ТАРЕЛКА "КАПУЧИНО" 28 СМ</t>
  </si>
  <si>
    <t>17285/O</t>
  </si>
  <si>
    <t>ТАРЕЛКА "КАПУЧИНО" 32 СМ</t>
  </si>
  <si>
    <t>18997</t>
  </si>
  <si>
    <t>ТАРЕЛКА "КАТРИНА" 30см без упаковки (кор.4шт) 18997</t>
  </si>
  <si>
    <t>16245</t>
  </si>
  <si>
    <t>ТАРЕЛКА "КОРАЛЛОВЫЕ РИФЫ" 32 СМ</t>
  </si>
  <si>
    <t>17856/K</t>
  </si>
  <si>
    <t>ТАРЕЛКА "КОРАЛЛЫ" 21 СМ</t>
  </si>
  <si>
    <t>17857/K</t>
  </si>
  <si>
    <t>ТАРЕЛКА "КОРАЛЛЫ" 28 СМ</t>
  </si>
  <si>
    <t>17285/K</t>
  </si>
  <si>
    <t>ТАРЕЛКА "КОРАЛЛЫ" 32 СМ</t>
  </si>
  <si>
    <t>16504</t>
  </si>
  <si>
    <t>ТАРЕЛКА "КОШКА" 32см без упаковки (кор.6шт) 16504</t>
  </si>
  <si>
    <t>14094РR</t>
  </si>
  <si>
    <t>ТАРЕЛКА "КРАСНЫЙ ЦВЕТОК" 21 СМ () арт.14094РR</t>
  </si>
  <si>
    <t>16836</t>
  </si>
  <si>
    <t>ТАРЕЛКА "КРИСТАЛ" 21 СМ</t>
  </si>
  <si>
    <t>16502/4</t>
  </si>
  <si>
    <t>ТАРЕЛКА "КУВШИНКА ИНДИАНА" 21 СМ</t>
  </si>
  <si>
    <t>16579/4</t>
  </si>
  <si>
    <t>ТАРЕЛКА "КУВШИНКА ИНДИАНА" 28 СМ</t>
  </si>
  <si>
    <t>16580/4</t>
  </si>
  <si>
    <t>ТАРЕЛКА "КУВШИНКА ИНДИАНА" 32 СМ</t>
  </si>
  <si>
    <t>16502/3</t>
  </si>
  <si>
    <t>ТАРЕЛКА "КУВШИНКА НИМФЕЯ" 21 СМ</t>
  </si>
  <si>
    <t>16579/3</t>
  </si>
  <si>
    <t>ТАРЕЛКА "КУВШИНКА НИМФЕЯ" 28 СМ</t>
  </si>
  <si>
    <t>16580/3</t>
  </si>
  <si>
    <t>ТАРЕЛКА "КУВШИНКА НИМФЕЯ" 32 СМ</t>
  </si>
  <si>
    <t>19306/G</t>
  </si>
  <si>
    <t>ТАРЕЛКА "ЛЕДЯНОЙ ЦВЕТОК" ЗОЛОТО 21 СМ</t>
  </si>
  <si>
    <t>19306/S</t>
  </si>
  <si>
    <t>ТАРЕЛКА "ЛЕДЯНОЙ ЦВЕТОК" СЕРЕБРО 21 СМ</t>
  </si>
  <si>
    <t>18783/1</t>
  </si>
  <si>
    <t>ТАРЕЛКА "ЛУННОЕ СИЯНИЕ" 21см без упаковки (кор.8шт) 18783/1</t>
  </si>
  <si>
    <t>18784/1</t>
  </si>
  <si>
    <t>ТАРЕЛКА "ЛУННОЕ СИЯНИЕ" 28см (кор.6шт) 18784/1</t>
  </si>
  <si>
    <t>15902/В</t>
  </si>
  <si>
    <t>ТАРЕЛКА "ЛУННЫЙ БОСФОР" 21см 15902/В</t>
  </si>
  <si>
    <t>15903/В</t>
  </si>
  <si>
    <t>ТАРЕЛКА "ЛУННЫЙ БОСФОР" 28см 15903/В</t>
  </si>
  <si>
    <t>15904/В</t>
  </si>
  <si>
    <t>ТАРЕЛКА "ЛУННЫЙ БОСФОР" 32см 15904/В</t>
  </si>
  <si>
    <t>16499</t>
  </si>
  <si>
    <t>ТАРЕЛКА "МАКИ" 21 СМ</t>
  </si>
  <si>
    <t>19130/3</t>
  </si>
  <si>
    <t>ТАРЕЛКА "МЕРЦАНИЕ НОЧИ" 21см без упаковки (кор.8шт) 19130/3</t>
  </si>
  <si>
    <t>19131/3</t>
  </si>
  <si>
    <t>ТАРЕЛКА "МЕРЦАНИЕ НОЧИ" 28см (кор.6шт) 19131/3</t>
  </si>
  <si>
    <t>19132/3</t>
  </si>
  <si>
    <t>ТАРЕЛКА "МЕРЦАНИЕ НОЧИ" 33 см (кор.6шт) 19132/3</t>
  </si>
  <si>
    <t>16821/W</t>
  </si>
  <si>
    <t>ТАРЕЛКА "МЕТЕЛИЦА" БЕЛОЕ 21 СМ</t>
  </si>
  <si>
    <t>16822/W</t>
  </si>
  <si>
    <t>ТАРЕЛКА "МЕТЕЛИЦА" БЕЛОЕ 28 СМ</t>
  </si>
  <si>
    <t>16823/W-120844</t>
  </si>
  <si>
    <t>ТАРЕЛКА "МЕТЕЛИЦА" БЕЛОЕ 32 СМ</t>
  </si>
  <si>
    <t>16822/R</t>
  </si>
  <si>
    <t>ТАРЕЛКА "МЕТЕЛИЦА" КРАСНОЕ 28 СМ</t>
  </si>
  <si>
    <t>16823 /R</t>
  </si>
  <si>
    <t>ТАРЕЛКА "МЕТЕЛИЦА" КРАСНОЕ 32 СМ арт.16823 /R</t>
  </si>
  <si>
    <t>17856/M</t>
  </si>
  <si>
    <t>ТАРЕЛКА "МОККО" 21 СМ</t>
  </si>
  <si>
    <t>17857/M</t>
  </si>
  <si>
    <t>ТАРЕЛКА "МОККО" 28 СМ</t>
  </si>
  <si>
    <t>17285/M</t>
  </si>
  <si>
    <t>ТАРЕЛКА "МОККО" 32 СМ</t>
  </si>
  <si>
    <t>16216/WS-120829</t>
  </si>
  <si>
    <t>ТАРЕЛКА "НОВОГОДНЯЯ ЁЛКА" 17 СМ БЕЛАЯ С СЕРЕБРОМ</t>
  </si>
  <si>
    <t>16216/GY-120827</t>
  </si>
  <si>
    <t>ТАРЕЛКА "НОВОГОДНЯЯ ЁЛКА" 17 СМ ЗЕЛЁНЫЙ С ЗОЛОТОМ</t>
  </si>
  <si>
    <t>16216/RG-120823</t>
  </si>
  <si>
    <t>ТАРЕЛКА "НОВОГОДНЯЯ ЁЛКА" 17 СМ КРАСНЫЙ С ЗЕЛЁНЫМ</t>
  </si>
  <si>
    <t>16216/RY-120833</t>
  </si>
  <si>
    <t>ТАРЕЛКА "НОВОГОДНЯЯ ЁЛКА" 17 СМ КРАСНЫЙ С ЗОЛОТЫМ</t>
  </si>
  <si>
    <t>16251/GG</t>
  </si>
  <si>
    <t>ТАРЕЛКА "НОВОГОДНЯЯ ЁЛКА" 24 СМ золотистая с зеленым</t>
  </si>
  <si>
    <t>16251/R</t>
  </si>
  <si>
    <t>ТАРЕЛКА "НОВОГОДНЯЯ ЁЛКА" 24 СМ красная с серебром</t>
  </si>
  <si>
    <t>15792/1</t>
  </si>
  <si>
    <t>ТАРЕЛКА "ПЕЙСЛИ АНТРАЦИТ" 21см 15792/1</t>
  </si>
  <si>
    <t>15792/1-120808</t>
  </si>
  <si>
    <t>ТАРЕЛКА "ПЕЙСЛИ АНТРАЦИТ" 21см 15792/1-120808</t>
  </si>
  <si>
    <t>15793/1</t>
  </si>
  <si>
    <t>ТАРЕЛКА "ПЕЙСЛИ АНТРАЦИТ" 28см 15793/1</t>
  </si>
  <si>
    <t>15794/1</t>
  </si>
  <si>
    <t>ТАРЕЛКА "ПЕЙСЛИ АНТРАЦИТ" 32см 15794/1</t>
  </si>
  <si>
    <t>15792/2</t>
  </si>
  <si>
    <t>ТАРЕЛКА "ПЕЙСЛИ ЗОЛОТО" 21см 15792/2</t>
  </si>
  <si>
    <t>15792/2-120811</t>
  </si>
  <si>
    <t>ТАРЕЛКА "ПЕЙСЛИ ЗОЛОТО" 21см 15792/2-120811</t>
  </si>
  <si>
    <t>15793/2</t>
  </si>
  <si>
    <t>ТАРЕЛКА "ПЕЙСЛИ ЗОЛОТО" 28см 15793/2</t>
  </si>
  <si>
    <t>15794/2</t>
  </si>
  <si>
    <t>ТАРЕЛКА "ПЕЙСЛИ ЗОЛОТО" 32см 15794/2</t>
  </si>
  <si>
    <t>15794/2-120813</t>
  </si>
  <si>
    <t>ТАРЕЛКА "ПЕЙСЛИ ЗОЛОТО" 32см 15794/2-120813</t>
  </si>
  <si>
    <t>15881/В</t>
  </si>
  <si>
    <t>ТАРЕЛКА "РЕТРО БРИЗ" 21см 15881/В</t>
  </si>
  <si>
    <t>15882/В</t>
  </si>
  <si>
    <t>ТАРЕЛКА "РЕТРО БРИЗ" 28см 15882/В</t>
  </si>
  <si>
    <t>15883/В</t>
  </si>
  <si>
    <t>ТАРЕЛКА "РЕТРО БРИЗ" 32см 15883/В</t>
  </si>
  <si>
    <t>15881/G</t>
  </si>
  <si>
    <t>ТАРЕЛКА "РЕТРО GREY" 21см 15881/G</t>
  </si>
  <si>
    <t>15882/G</t>
  </si>
  <si>
    <t>ТАРЕЛКА "РЕТРО GREY" 28см 15882/G</t>
  </si>
  <si>
    <t>15883/G</t>
  </si>
  <si>
    <t>ТАРЕЛКА "РЕТРО GREY" 32см 15883/G</t>
  </si>
  <si>
    <t>15881/R</t>
  </si>
  <si>
    <t>ТАРЕЛКА "РЕТРО PINKY" 21см 15881/R</t>
  </si>
  <si>
    <t>15882/R</t>
  </si>
  <si>
    <t>ТАРЕЛКА "РЕТРО PINKY" 28см 15882/R</t>
  </si>
  <si>
    <t>15737/2</t>
  </si>
  <si>
    <t>ТАРЕЛКА "РИВЬЕРА БРОНЗА" 21см 15737/2</t>
  </si>
  <si>
    <t>15738/2</t>
  </si>
  <si>
    <t>ТАРЕЛКА "РИВЬЕРА БРОНЗА" 28см 15738/2</t>
  </si>
  <si>
    <t>15739/2</t>
  </si>
  <si>
    <t>ТАРЕЛКА "РИВЬЕРА БРОНЗА" 32см 15739/2</t>
  </si>
  <si>
    <t>15737/1</t>
  </si>
  <si>
    <t>ТАРЕЛКА "РИВЬЕРА ЖЕМЧУГ" 21см 15737/1</t>
  </si>
  <si>
    <t>15738/1</t>
  </si>
  <si>
    <t>ТАРЕЛКА "РИВЬЕРА ЖЕМЧУГ" 28см 15738/1</t>
  </si>
  <si>
    <t>15739/1</t>
  </si>
  <si>
    <t>ТАРЕЛКА "РИВЬЕРА ЖЕМЧУГ" 32см 15739/1</t>
  </si>
  <si>
    <t>14545/Р</t>
  </si>
  <si>
    <t>ТАРЕЛКА "РОЗОВЫЙ СОН" 21 СМ</t>
  </si>
  <si>
    <t>14546/Р</t>
  </si>
  <si>
    <t>ТАРЕЛКА "РОЗОВЫЙ СОН" 28 СМ</t>
  </si>
  <si>
    <t>14094РР</t>
  </si>
  <si>
    <t>ТАРЕЛКА "РОЗОВЫЙ ЦВЕТОК" 21 СМ () арт.14094РР</t>
  </si>
  <si>
    <t>18784/2</t>
  </si>
  <si>
    <t>ТАРЕЛКА "РУБИН" 28см (кор.6шт) 18784/2</t>
  </si>
  <si>
    <t>19130/1</t>
  </si>
  <si>
    <t>ТАРЕЛКА "СЕВЕРНАЯ ЗВЕЗДА" 21см без упаковки (кор.8шт) 19130/1</t>
  </si>
  <si>
    <t>19131/1</t>
  </si>
  <si>
    <t>ТАРЕЛКА "СЕВЕРНАЯ ЗВЕЗДА" 28см (кор.6шт) 19131/1</t>
  </si>
  <si>
    <t>19132/1</t>
  </si>
  <si>
    <t>ТАРЕЛКА "СЕВЕРНАЯ ЗВЕЗДА" 33см (кор.6шт) 19132/1</t>
  </si>
  <si>
    <t>16180/B</t>
  </si>
  <si>
    <t>ТАРЕЛКА "СЕРЕБРЯНОЕ КОПЫТЦЕ" 32 СМ белая</t>
  </si>
  <si>
    <t>16180/R</t>
  </si>
  <si>
    <t>ТАРЕЛКА "СЕРЕБРЯНОЕ КОПЫТЦЕ" 32 СМ КРАСНАЯ</t>
  </si>
  <si>
    <t>16180-120818</t>
  </si>
  <si>
    <t>16180-120817</t>
  </si>
  <si>
    <t>ТАРЕЛКА "СЕРЕБРЯНОЕ КОПЫТЦЕ" 32 СМ СИНЯЯ</t>
  </si>
  <si>
    <t>17290/S</t>
  </si>
  <si>
    <t>ТАРЕЛКА "СЕРЕБРЯНОЕ КРУЖЕВО" 21 СМ</t>
  </si>
  <si>
    <t>17291/S</t>
  </si>
  <si>
    <t>ТАРЕЛКА "СЕРЕБРЯНОЕ КРУЖЕВО" 28 СМ СЕРЕБРО</t>
  </si>
  <si>
    <t>18862</t>
  </si>
  <si>
    <t>ТАРЕЛКА "СЕРЕБРЯНЫЙ ТУМАН" 32см (кор.6шт) 18862</t>
  </si>
  <si>
    <t>16409</t>
  </si>
  <si>
    <t>ТАРЕЛКА "СИЯНИЕ НОЧИ" 21 см (кор. 8 шт.) 16409</t>
  </si>
  <si>
    <t>16410</t>
  </si>
  <si>
    <t>ТАРЕЛКА "СИЯНИЕ НОЧИ" 28 см (кор. 6 шт.) 16410</t>
  </si>
  <si>
    <t>16718</t>
  </si>
  <si>
    <t>ТАРЕЛКА "СИЯНИЕ НОЧИ" 32 см (кор. 6 шт.) 16718</t>
  </si>
  <si>
    <t>16409/S</t>
  </si>
  <si>
    <t>ТАРЕЛКА "СИЯНИЕ НОЧИ" СЕРЕБРО 21 см (кор. 6 шт.) 16409/S</t>
  </si>
  <si>
    <t>16410/S</t>
  </si>
  <si>
    <t>ТАРЕЛКА "СИЯНИЕ НОЧИ" СЕРЕБРО 28 см (кор. 6 шт.) 16410/S</t>
  </si>
  <si>
    <t>16718/S</t>
  </si>
  <si>
    <t>ТАРЕЛКА "СИЯНИЕ НОЧИ" СЕРЕБРО 32 см (кор. 6 шт.) 16718/S</t>
  </si>
  <si>
    <t>16346/S</t>
  </si>
  <si>
    <t>ТАРЕЛКА "СНЕЖНЫЕ УЗОРЫ" 21 СМ БЕЛАЯ</t>
  </si>
  <si>
    <t>16346/R</t>
  </si>
  <si>
    <t>ТАРЕЛКА "СНЕЖНЫЕ УЗОРЫ" 21 СМ КРАСНАЯ</t>
  </si>
  <si>
    <t>16347/S</t>
  </si>
  <si>
    <t>ТАРЕЛКА "СНЕЖНЫЕ УЗОРЫ" 28 СМ БЕЛАЯ</t>
  </si>
  <si>
    <t>16347/R</t>
  </si>
  <si>
    <t>ТАРЕЛКА "СНЕЖНЫЕ УЗОРЫ" 28 СМ КРАСНАЯ</t>
  </si>
  <si>
    <t>16346/R-120820</t>
  </si>
  <si>
    <t>15336/R</t>
  </si>
  <si>
    <t>ТАРЕЛКА "СНЕЖНЫЙ ВИХРЬ" 28 СМ КРАСНАЯ</t>
  </si>
  <si>
    <t>15337/R</t>
  </si>
  <si>
    <t>ТАРЕЛКА "СНЕЖНЫЙ ВИХРЬ" 32 СМ КРАСНАЯ</t>
  </si>
  <si>
    <t>17856/С</t>
  </si>
  <si>
    <t>ТАРЕЛКА "ТАЛИСМАН" 21 СМ БЕЖЕВАЯ 17856/С</t>
  </si>
  <si>
    <t>17856/В</t>
  </si>
  <si>
    <t>ТАРЕЛКА "ТАЛИСМАН" 21 СМ КОРИЧНЕВАЯ 17856/В</t>
  </si>
  <si>
    <t>17856/R</t>
  </si>
  <si>
    <t>ТАРЕЛКА "ТАЛИСМАН" 21 СМ КРАСНАЯ 17856/R</t>
  </si>
  <si>
    <t>17856/N</t>
  </si>
  <si>
    <t>ТАРЕЛКА "ТАЛИСМАН" 21 СМ СИНЯЯ 17856/N</t>
  </si>
  <si>
    <t>17857/С</t>
  </si>
  <si>
    <t>ТАРЕЛКА "ТАЛИСМАН" 28 СМ БЕЖЕВАЯ 17857/С</t>
  </si>
  <si>
    <t>17857/В</t>
  </si>
  <si>
    <t>ТАРЕЛКА "ТАЛИСМАН" 28 СМ КОРИЧНЕВАЯ 17857/В</t>
  </si>
  <si>
    <t>17857/R</t>
  </si>
  <si>
    <t>ТАРЕЛКА "ТАЛИСМАН" 28 СМ КРАСНАЯ 17857/R</t>
  </si>
  <si>
    <t>17857/N</t>
  </si>
  <si>
    <t>ТАРЕЛКА "ТАЛИСМАН" 28 СМ СИНЯЯ 17857/N</t>
  </si>
  <si>
    <t>17285/С</t>
  </si>
  <si>
    <t>ТАРЕЛКА "ТАЛИСМАН" 32 СМ БЕЖЕВАЯ 17285/С</t>
  </si>
  <si>
    <t>17285/В</t>
  </si>
  <si>
    <t>ТАРЕЛКА "ТАЛИСМАН" 32 СМ КОРИЧНЕВАЯ 17285/В</t>
  </si>
  <si>
    <t>17285/R</t>
  </si>
  <si>
    <t>ТАРЕЛКА "ТАЛИСМАН" 32 СМ КРАСНАЯ 17285/R</t>
  </si>
  <si>
    <t>17285/N</t>
  </si>
  <si>
    <t>ТАРЕЛКА "ТАЛИСМАН" 32 СМ СИНЯЯ 17285/N</t>
  </si>
  <si>
    <t>16199/G</t>
  </si>
  <si>
    <t>ТАРЕЛКА "ТОРЖЕСТВО" 21 СМ, золото</t>
  </si>
  <si>
    <t>16199/S</t>
  </si>
  <si>
    <t>ТАРЕЛКА "ТОРЖЕСТВО" 21 СМ, серебро</t>
  </si>
  <si>
    <t>16200/G</t>
  </si>
  <si>
    <t>ТАРЕЛКА "ТОРЖЕСТВО" 28 СМ, золото</t>
  </si>
  <si>
    <t>16200/S</t>
  </si>
  <si>
    <t>ТАРЕЛКА "ТОРЖЕСТВО" 28 СМ, серебро</t>
  </si>
  <si>
    <t>16201/G</t>
  </si>
  <si>
    <t>ТАРЕЛКА "ТОРЖЕСТВО" 32 СМ, золото</t>
  </si>
  <si>
    <t>16201/S</t>
  </si>
  <si>
    <t>ТАРЕЛКА "ТОРЖЕСТВО" 32 СМ, серебро</t>
  </si>
  <si>
    <t>15902/G</t>
  </si>
  <si>
    <t>ТАРЕЛКА "УТРЕННИЙ БОСФОР" 21см 15902/G</t>
  </si>
  <si>
    <t>15903/G</t>
  </si>
  <si>
    <t>ТАРЕЛКА "УТРЕННИЙ БОСФОР" 28см 15903/G</t>
  </si>
  <si>
    <t>15904/G</t>
  </si>
  <si>
    <t>ТАРЕЛКА "УТРЕННИЙ БОСФОР" 32см 15904/G</t>
  </si>
  <si>
    <t>14265/R</t>
  </si>
  <si>
    <t>ТАРЕЛКА "ФЕЙЕРВЕРК" 21 СМ КРАСНЫЙ</t>
  </si>
  <si>
    <t>14265/B</t>
  </si>
  <si>
    <t>ТАРЕЛКА "ФЕЙЕРВЕРК" 21 СМ СИНИЙ</t>
  </si>
  <si>
    <t>14265/G</t>
  </si>
  <si>
    <t>ТАРЕЛКА "ФЕЙЕРВЕРК" 21 СМ ШАМПАНЬ</t>
  </si>
  <si>
    <t>14266/R</t>
  </si>
  <si>
    <t>ТАРЕЛКА "ФЕЙЕРВЕРК" 28 СМ КРАСНЫЙ</t>
  </si>
  <si>
    <t>14266/B</t>
  </si>
  <si>
    <t>ТАРЕЛКА "ФЕЙЕРВЕРК" 28 СМ СИНИЙ</t>
  </si>
  <si>
    <t>14266/G</t>
  </si>
  <si>
    <t>ТАРЕЛКА "ФЕЙЕРВЕРК" 28 СМ ШАМПАНЬ</t>
  </si>
  <si>
    <t>15873/S</t>
  </si>
  <si>
    <t>ТАРЕЛКА "ФОРТУНА" 21 СМ СЕРЕБРО</t>
  </si>
  <si>
    <t>15874/G</t>
  </si>
  <si>
    <t>ТАРЕЛКА "ФОРТУНА" 28 СМ ЗОЛОТО</t>
  </si>
  <si>
    <t>15874/S</t>
  </si>
  <si>
    <t>ТАРЕЛКА "ФОРТУНА" 28 СМ СЕРЕБРО</t>
  </si>
  <si>
    <t>15875/G</t>
  </si>
  <si>
    <t>ТАРЕЛКА "ФОРТУНА" 32 СМ ЗОЛОТО</t>
  </si>
  <si>
    <t>15875/S</t>
  </si>
  <si>
    <t>ТАРЕЛКА "ФОРТУНА" 32 СМ СЕРЕБРО</t>
  </si>
  <si>
    <t>19668</t>
  </si>
  <si>
    <t>ТАРЕЛКА "ХОГВАРТС" 28см без упаковки (кор.6шт) 19668</t>
  </si>
  <si>
    <t>17837</t>
  </si>
  <si>
    <t>ТАРЕЛКА "ХЭЛЛОУИН" 30см без упаковки (кор.4шт) 17837</t>
  </si>
  <si>
    <t>17169/1</t>
  </si>
  <si>
    <t>ТАРЕЛКА "ХЮРРЕМ БИРЮЗА" 21см (кор.8шт) 17169/1</t>
  </si>
  <si>
    <t>15722/2</t>
  </si>
  <si>
    <t>ТАРЕЛКА "ЭЛЕОНОРА БРОНЗА" 21см 15722/2</t>
  </si>
  <si>
    <t>15723/2</t>
  </si>
  <si>
    <t>ТАРЕЛКА "ЭЛЕОНОРА БРОНЗА" 28см 15723/2</t>
  </si>
  <si>
    <t>15724/2</t>
  </si>
  <si>
    <t>ТАРЕЛКА "ЭЛЕОНОРА БРОНЗА" 32см 15724/2</t>
  </si>
  <si>
    <t>15722/1</t>
  </si>
  <si>
    <t>ТАРЕЛКА "ЭЛЕОНОРА ПАТИНА" 21см 15722/1</t>
  </si>
  <si>
    <t>15723/1</t>
  </si>
  <si>
    <t>ТАРЕЛКА "ЭЛЕОНОРА ПАТИНА" 28см 15723/1</t>
  </si>
  <si>
    <t>15724/1</t>
  </si>
  <si>
    <t>ТАРЕЛКА "ЭЛЕОНОРА ПАТИНА" 32см 15724/1</t>
  </si>
  <si>
    <t>16531/R</t>
  </si>
  <si>
    <t>ТАРЕЛКА "ЭЛИС" 21 СМ АЛЫЙ</t>
  </si>
  <si>
    <t>16531/S</t>
  </si>
  <si>
    <t>ТАРЕЛКА "ЭЛИС" 21 СМ ПЛАТИНА</t>
  </si>
  <si>
    <t>16532/R</t>
  </si>
  <si>
    <t>ТАРЕЛКА "ЭЛИС" 28 СМ АЛЫЙ</t>
  </si>
  <si>
    <t>16532/G</t>
  </si>
  <si>
    <t>ТАРЕЛКА "ЭЛИС" 28 СМ ЗОЛОТО</t>
  </si>
  <si>
    <t>16532/S</t>
  </si>
  <si>
    <t>ТАРЕЛКА "ЭЛИС" 28 СМ ПЛАТИНА</t>
  </si>
  <si>
    <t>16533/R</t>
  </si>
  <si>
    <t>ТАРЕЛКА "ЭЛИС" 32 СМ АЛЫЙ</t>
  </si>
  <si>
    <t>16533/G</t>
  </si>
  <si>
    <t>ТАРЕЛКА "ЭЛИС" 32 СМ ЗОЛОТО</t>
  </si>
  <si>
    <t>16533/S</t>
  </si>
  <si>
    <t>ТАРЕЛКА "ЭЛИС" 32 СМ ПЛАТИНА</t>
  </si>
  <si>
    <t>16280/B</t>
  </si>
  <si>
    <t>ТАРЕЛКА "ARMONİA MARRONE " 21 СМ</t>
  </si>
  <si>
    <t>16281/B</t>
  </si>
  <si>
    <t>ТАРЕЛКА "ARMONİA MARRONE" 28 СМ</t>
  </si>
  <si>
    <t>16280/P</t>
  </si>
  <si>
    <t>ТАРЕЛКА "ARMONIA ROSA" 21 СМ</t>
  </si>
  <si>
    <t>16281/P</t>
  </si>
  <si>
    <t>ТАРЕЛКА "ARMONIA ROSA" 28 СМ</t>
  </si>
  <si>
    <t>20254</t>
  </si>
  <si>
    <t>ТАРЕЛКА "DIAMOND" 32 СМ</t>
  </si>
  <si>
    <t>16467/1</t>
  </si>
  <si>
    <t>ТАРЕЛКА "INSPIRATION GREEN" 21CM 16467/1</t>
  </si>
  <si>
    <t>16468/1</t>
  </si>
  <si>
    <t>ТАРЕЛКА "INSPIRATION GREEN" 28CM 16468/1</t>
  </si>
  <si>
    <t>16467/339-058</t>
  </si>
  <si>
    <t>ТАРЕЛКА "INSPIRATION" 21CM 16467/339-058</t>
  </si>
  <si>
    <t>16468/339-059</t>
  </si>
  <si>
    <t>ТАРЕЛКА "INSPIRATION" 28CM 16468/339-059</t>
  </si>
  <si>
    <t>15736/Y</t>
  </si>
  <si>
    <t>ТАРЕЛКА 16 СМ "MARSEILLE"</t>
  </si>
  <si>
    <t>16595/O</t>
  </si>
  <si>
    <t>ТАРЕЛКА 16 СМ С ВЫСОКИМ БОРТОМ "VICTORIA NERO"</t>
  </si>
  <si>
    <t>13847/А</t>
  </si>
  <si>
    <t>ТАРЕЛКА 21 СМ "АГАВА"</t>
  </si>
  <si>
    <t>13282/B</t>
  </si>
  <si>
    <t>ТАРЕЛКА 21 СМ "АКВАРЕЛЬ" БИРЮЗА</t>
  </si>
  <si>
    <t>13282/G</t>
  </si>
  <si>
    <t>ТАРЕЛКА 21 СМ "АКВАРЕЛЬ" ЗОЛОТОЙ ПЕСОК</t>
  </si>
  <si>
    <t>13282//P</t>
  </si>
  <si>
    <t>ТАРЕЛКА 21 СМ "АКВАРЕЛЬ" РОЗА</t>
  </si>
  <si>
    <t>15208</t>
  </si>
  <si>
    <t>ТАРЕЛКА 21 СМ "ГЕЛИОС"</t>
  </si>
  <si>
    <t>13408</t>
  </si>
  <si>
    <t>ТАРЕЛКА 21 СМ "ДИВО"</t>
  </si>
  <si>
    <t>19625/R</t>
  </si>
  <si>
    <t>ТАРЕЛКА 21 СМ "КРАСКИ ОСЕНИ" КРАСНАЯ 19625/R</t>
  </si>
  <si>
    <t>19625/В</t>
  </si>
  <si>
    <t>ТАРЕЛКА 21 СМ "КРАСКИ ОСЕНИ" ЯНТАРЬ 19625/В</t>
  </si>
  <si>
    <t>19625/G</t>
  </si>
  <si>
    <t>ТАРЕЛКА 21 СМ "КРАСКИ ОСЕНИ" GREEN 19625/G</t>
  </si>
  <si>
    <t>14221</t>
  </si>
  <si>
    <t>ТАРЕЛКА 21 СМ "ЛЕПЕСТКИ В РОСЕ"</t>
  </si>
  <si>
    <t>16687</t>
  </si>
  <si>
    <t>ТАРЕЛКА 21 СМ "ЛОРИЭН"</t>
  </si>
  <si>
    <t>13290</t>
  </si>
  <si>
    <t>ТАРЕЛКА 21 СМ "ЛУННЫЙ СВЕТ"</t>
  </si>
  <si>
    <t>13873</t>
  </si>
  <si>
    <t>ТАРЕЛКА 21 СМ "ОЛИВКОВАЯ РОЩА"</t>
  </si>
  <si>
    <t>13873/G</t>
  </si>
  <si>
    <t>ТАРЕЛКА 21 СМ "ОЛИВКОВАЯ РОЩА" ЗЕЛЕНАЯ</t>
  </si>
  <si>
    <t>15484/В</t>
  </si>
  <si>
    <t>ТАРЕЛКА 21 СМ "ОСЕННИЙ ВАЛЬС" 15484/В</t>
  </si>
  <si>
    <t>13847/G</t>
  </si>
  <si>
    <t>ТАРЕЛКА 21 СМ "СОЛНЦЕ"</t>
  </si>
  <si>
    <t>17359</t>
  </si>
  <si>
    <t>ТАРЕЛКА 21 СМ "ЭЛЛАДА"</t>
  </si>
  <si>
    <t>13385/U</t>
  </si>
  <si>
    <t>ТАРЕЛКА 21 СМ "AURORA"</t>
  </si>
  <si>
    <t>19755</t>
  </si>
  <si>
    <t>ТАРЕЛКА 21 СМ "DIAMOND" () арт.19755</t>
  </si>
  <si>
    <t>16467/В</t>
  </si>
  <si>
    <t>ТАРЕЛКА 21 СМ "INSPIRATION AMBER" 16467/В</t>
  </si>
  <si>
    <t>13941/I</t>
  </si>
  <si>
    <t>ТАРЕЛКА 21 СМ "IZMIR"</t>
  </si>
  <si>
    <t>15737/Y</t>
  </si>
  <si>
    <t>ТАРЕЛКА 21 СМ "MARSEILLE"</t>
  </si>
  <si>
    <t>13385</t>
  </si>
  <si>
    <t>ТАРЕЛКА 21 СМ "NORTH WIND"</t>
  </si>
  <si>
    <t>13847/R</t>
  </si>
  <si>
    <t>ТАРЕЛКА 21 СМ "RIO"</t>
  </si>
  <si>
    <t>16578/B</t>
  </si>
  <si>
    <t>ТАРЕЛКА 21 СМ "VICTORIA MARRONE"</t>
  </si>
  <si>
    <t>16814/W-120804</t>
  </si>
  <si>
    <t>ТАРЕЛКА 21 СМ БЕЛАЯ СО СНЕЖИНКОЙ</t>
  </si>
  <si>
    <t>16219</t>
  </si>
  <si>
    <t>ТАРЕЛКА 21 СМ ЗВЕЗДНЫЙ ДОЖДЬ</t>
  </si>
  <si>
    <t>16596/B</t>
  </si>
  <si>
    <t>ТАРЕЛКА 21 СМ С ВЫСОКИМ БОРТОМ "VICTORIA MARRONE"</t>
  </si>
  <si>
    <t>17908/G-120846</t>
  </si>
  <si>
    <t>ТАРЕЛКА 21*21*1,5 СМ "ЗОЛОТИСТАЯ РОЗА" арт.17908/G 120846</t>
  </si>
  <si>
    <t>13848/А</t>
  </si>
  <si>
    <t>ТАРЕЛКА 28 СМ "АГАВА"</t>
  </si>
  <si>
    <t>13283/B</t>
  </si>
  <si>
    <t>ТАРЕЛКА 28 СМ "АКВАРЕЛЬ" БИРЮЗА</t>
  </si>
  <si>
    <t>13283/G</t>
  </si>
  <si>
    <t>ТАРЕЛКА 28 СМ "АКВАРЕЛЬ" ЗОЛОТОЙ ПЕСОК</t>
  </si>
  <si>
    <t>13283/P</t>
  </si>
  <si>
    <t>ТАРЕЛКА 28 СМ "АКВАРЕЛЬ" РОЗА</t>
  </si>
  <si>
    <t>13409</t>
  </si>
  <si>
    <t>ТАРЕЛКА 28 СМ "ДИВО"</t>
  </si>
  <si>
    <t>15485/G</t>
  </si>
  <si>
    <t>ТАРЕЛКА 28 СМ "ЗОЛОТАЯ ОСЕНЬ" 15485/G</t>
  </si>
  <si>
    <t>19626/G</t>
  </si>
  <si>
    <t>ТАРЕЛКА 28 СМ "КРАСКИ ОСЕНИ" GREEN 19626/G</t>
  </si>
  <si>
    <t>14095PR</t>
  </si>
  <si>
    <t>ТАРЕЛКА 28 СМ "КРАСНЫЙ МАК"</t>
  </si>
  <si>
    <t>14222</t>
  </si>
  <si>
    <t>ТАРЕЛКА 28 СМ "ЛЕПЕСТКИ В РОСЕ"</t>
  </si>
  <si>
    <t>16688</t>
  </si>
  <si>
    <t>ТАРЕЛКА 28 СМ "ЛОРИЭН"</t>
  </si>
  <si>
    <t>14640</t>
  </si>
  <si>
    <t>ТАРЕЛКА 28 СМ "НОКТЮРН"</t>
  </si>
  <si>
    <t>13874</t>
  </si>
  <si>
    <t>ТАРЕЛКА 28 СМ "ОЛИВКОВАЯ РОЩА"</t>
  </si>
  <si>
    <t>13874/G</t>
  </si>
  <si>
    <t>ТАРЕЛКА 28 СМ "ОЛИВКОВАЯ РОЩА" ЗЕЛЕНАЯ</t>
  </si>
  <si>
    <t>16489/1</t>
  </si>
  <si>
    <t>ТАРЕЛКА 28 СМ "ПОДСОЛНУХ"</t>
  </si>
  <si>
    <t>17360</t>
  </si>
  <si>
    <t>ТАРЕЛКА 28 СМ "ЭЛЛАДА"</t>
  </si>
  <si>
    <t>13386/U</t>
  </si>
  <si>
    <t>ТАРЕЛКА 28 СМ "AURORA"</t>
  </si>
  <si>
    <t>19757</t>
  </si>
  <si>
    <t>ТАРЕЛКА 28 СМ "DIAMOND" () арт.19757</t>
  </si>
  <si>
    <t>16468/В</t>
  </si>
  <si>
    <t>ТАРЕЛКА 28 СМ "INSPIRATION AMBER" 16468/В</t>
  </si>
  <si>
    <t>13942/I</t>
  </si>
  <si>
    <t>ТАРЕЛКА 28 СМ "IZMIR"</t>
  </si>
  <si>
    <t>15738/Y</t>
  </si>
  <si>
    <t>ТАРЕЛКА 28 СМ "MARSEILLE"</t>
  </si>
  <si>
    <t>13386</t>
  </si>
  <si>
    <t>ТАРЕЛКА 28 СМ "NORTH WIND"</t>
  </si>
  <si>
    <t>13848/G</t>
  </si>
  <si>
    <t>ТАРЕЛКА 28 СМ "ORO"</t>
  </si>
  <si>
    <t>13848/R</t>
  </si>
  <si>
    <t>ТАРЕЛКА 28 СМ "RIO"</t>
  </si>
  <si>
    <t>16815/W-120805</t>
  </si>
  <si>
    <t>ТАРЕЛКА 28 СМ БЕЛАЯ СО СНЕЖИНКОЙ</t>
  </si>
  <si>
    <t>16220</t>
  </si>
  <si>
    <t>ТАРЕЛКА 28 СМ ЗВЕЗДНЫЙ ДОЖДЬ</t>
  </si>
  <si>
    <t>16815/R-120801</t>
  </si>
  <si>
    <t>ТАРЕЛКА 28 СМ КРАСНАЯ СО СНЕЖИНКОЙ</t>
  </si>
  <si>
    <t>15391</t>
  </si>
  <si>
    <t>ТАРЕЛКА 28 см СРЕДНЯЯ "САКУРА В ЦВЕТУ" арт.15391</t>
  </si>
  <si>
    <t>12283</t>
  </si>
  <si>
    <t>ТАРЕЛКА 28 CM "МОРСКАЯ СТИХИЯ"</t>
  </si>
  <si>
    <t>13849/А</t>
  </si>
  <si>
    <t>ТАРЕЛКА 32 СМ "АГАВА"</t>
  </si>
  <si>
    <t>13410</t>
  </si>
  <si>
    <t>ТАРЕЛКА 32 СМ "ДИВО"</t>
  </si>
  <si>
    <t>18533</t>
  </si>
  <si>
    <t>ТАРЕЛКА 32 СМ "ИРБИС"</t>
  </si>
  <si>
    <t>14223</t>
  </si>
  <si>
    <t>ТАРЕЛКА 32 СМ "ЛЕПЕСТКИ В РОСЕ"</t>
  </si>
  <si>
    <t>16689</t>
  </si>
  <si>
    <t>ТАРЕЛКА 32 СМ "ЛОРИЭН"</t>
  </si>
  <si>
    <t>17369</t>
  </si>
  <si>
    <t>ТАРЕЛКА 32 СМ "ЭЛЛАДА"</t>
  </si>
  <si>
    <t>13943/I</t>
  </si>
  <si>
    <t>ТАРЕЛКА 32 СМ "IZMIR"</t>
  </si>
  <si>
    <t>15739/Y</t>
  </si>
  <si>
    <t>ТАРЕЛКА 32 СМ "MARSEILLE"</t>
  </si>
  <si>
    <t>13387</t>
  </si>
  <si>
    <t>ТАРЕЛКА 32 СМ "NORTH WIND"</t>
  </si>
  <si>
    <t>13849/G</t>
  </si>
  <si>
    <t>ТАРЕЛКА 32 СМ "ORO"</t>
  </si>
  <si>
    <t>13849/R</t>
  </si>
  <si>
    <t>ТАРЕЛКА 32 СМ "RIO"</t>
  </si>
  <si>
    <t>13849/W</t>
  </si>
  <si>
    <t>ТАРЕЛКА 32 СМ акцентная "ORO" белое</t>
  </si>
  <si>
    <t>16223</t>
  </si>
  <si>
    <t>ТАРЕЛКА 32 СМ ЗВЕЗДНЫЙ ДОЖДЬ</t>
  </si>
  <si>
    <t>19758</t>
  </si>
  <si>
    <t>ТАРЕЛКА 33 СМ "DIAMOND" () арт.19758</t>
  </si>
  <si>
    <t>16265/С</t>
  </si>
  <si>
    <t>ТАРЕЛКА БОЛЬШАЯ "ВОЛШЕБНАЯ ТЫКВА" 21см СИРЕНЕВАЯ без упаковки (кор.8шт) 16265/С</t>
  </si>
  <si>
    <t>16500</t>
  </si>
  <si>
    <t>ТАРЕЛКА БОЛЬШАЯ "МАКИ" 28 СМ</t>
  </si>
  <si>
    <t>19669/1</t>
  </si>
  <si>
    <t>ТАРЕЛКА БОЛЬШАЯ "ОПАЛ БЕЛЫЙ" 32 СМ</t>
  </si>
  <si>
    <t>14095РР</t>
  </si>
  <si>
    <t>ТАРЕЛКА БОЛЬШАЯ "РОЗОВЫЙ ЦВЕТОК" 28 СМ () арт.14095РР</t>
  </si>
  <si>
    <t>16630/1</t>
  </si>
  <si>
    <t>ТАРЕЛКА БОЛЬШАЯ "ТРОПИКИ РАССВЕТ" 32 СМ</t>
  </si>
  <si>
    <t>16298/1</t>
  </si>
  <si>
    <t>ТАРЕЛКА БОЛЬШАЯ «ЖАСМИН» ГОЛУБОЙ 32 CM (кор.6шт) 16298/1</t>
  </si>
  <si>
    <t>Р19015-22</t>
  </si>
  <si>
    <t>ТАРЕЛКА ГЛУБОКАЯ 22 СМ. "РАПСОДИЯ"</t>
  </si>
  <si>
    <t>13944А-1791/I</t>
  </si>
  <si>
    <t>ТАРЕЛКА ГЛУБОКАЯ НА НОЖКЕ 21 СМ "IZMIR"</t>
  </si>
  <si>
    <t>16410А</t>
  </si>
  <si>
    <t>ТАРЕЛКА КРУГЛАЯ НА НОЖКЕ "СИЯНИЕ НОЧИ" 28 см (кор. 4шт.) 16410А</t>
  </si>
  <si>
    <t>16264/С</t>
  </si>
  <si>
    <t>ТАРЕЛКА МАЛЕНЬКАЯ "ВОЛШЕБНАЯ ТЫКВА" 17см СИРЕНЕВАЯ без упаковки (кор.8шт/24шт) 16264/С</t>
  </si>
  <si>
    <t>16163/2</t>
  </si>
  <si>
    <t>ТАРЕЛКА МАЛЕНЬКАЯ "КОРАЛЛОВЫЙ ЖЕМЧУГ" 21 СМ</t>
  </si>
  <si>
    <t>16296/1</t>
  </si>
  <si>
    <t>ТАРЕЛКА МАЛЕНЬКАЯ «ЖАСМИН» ГОЛУБОЙ 21 CM (кор.8шт) 16296/1</t>
  </si>
  <si>
    <t>16296/2</t>
  </si>
  <si>
    <t>ТАРЕЛКА МАЛЕНЬКАЯ «ЖАСМИН» КРАСНЫЙ 21 CM (кор.8шт) 16296/2</t>
  </si>
  <si>
    <t>16296/3</t>
  </si>
  <si>
    <t>ТАРЕЛКА МАЛЕНЬКАЯ «ЖАСМИН» КРЕМОВЫЙ 21 CM (кор.8шт) 16296/3</t>
  </si>
  <si>
    <t>14749WL  /14325</t>
  </si>
  <si>
    <t>ТАРЕЛКА МОЗАЙКА 32 СМ МИКС</t>
  </si>
  <si>
    <t>15769А/1</t>
  </si>
  <si>
    <t>ТАРЕЛКА НА НОЖКЕ "БАРОККО БЛЭК" 28см 15769А/1</t>
  </si>
  <si>
    <t>15769А/2</t>
  </si>
  <si>
    <t>ТАРЕЛКА НА НОЖКЕ "БАРОККО ГОЛД" 28см 15769А/2</t>
  </si>
  <si>
    <t>15738А/2</t>
  </si>
  <si>
    <t>ТАРЕЛКА НА НОЖКЕ "РИВЬЕРА БРОНЗА" 28см 15738А/2</t>
  </si>
  <si>
    <t>15738А/1</t>
  </si>
  <si>
    <t>ТАРЕЛКА НА НОЖКЕ "РИВЬЕРА ЖЕМЧУГ" 28см 15738А/1</t>
  </si>
  <si>
    <t>17544/А/2</t>
  </si>
  <si>
    <t>ТАРЕЛКА НА НОЖКЕ "РУБИН" 33см (высота ножки 6см) (кор.4шт) 17544/А/2</t>
  </si>
  <si>
    <t>15723А/2</t>
  </si>
  <si>
    <t>ТАРЕЛКА НА НОЖКЕ "ЭЛЕОНОРА БРОНЗА" 28см 15723А/2</t>
  </si>
  <si>
    <t>15723А/1</t>
  </si>
  <si>
    <t>ТАРЕЛКА НА НОЖКЕ "ЭЛЕОНОРА ПАТИНА" 28см 15723А/1</t>
  </si>
  <si>
    <t>16532A/R</t>
  </si>
  <si>
    <t>ТАРЕЛКА НА НОЖКЕ "ЭЛИС" 28 СМ АЛЫЙ</t>
  </si>
  <si>
    <t>16532A/G</t>
  </si>
  <si>
    <t>ТАРЕЛКА НА НОЖКЕ "ЭЛИС" 28 СМ ЗОЛОТО</t>
  </si>
  <si>
    <t>16532A/S</t>
  </si>
  <si>
    <t>ТАРЕЛКА НА НОЖКЕ "ЭЛИС" 28 СМ ПЛАТИНА</t>
  </si>
  <si>
    <t>13947А-1790/I</t>
  </si>
  <si>
    <t>ТАРЕЛКА НА НОЖКЕ 21 СМ "IZMIR"</t>
  </si>
  <si>
    <t>12330</t>
  </si>
  <si>
    <t>ТАРЕЛКА С БОРТОМ 16 СМ "ДАРЫ САДА - ТОМАТ"</t>
  </si>
  <si>
    <t>13126</t>
  </si>
  <si>
    <t>ТАРЕЛКА С БОРТОМ 21 СМ "MYSTIC"</t>
  </si>
  <si>
    <t>13850/R</t>
  </si>
  <si>
    <t>ТАРЕЛКА С БОРТОМ 21 СМ "RIO"</t>
  </si>
  <si>
    <t>13127</t>
  </si>
  <si>
    <t>ТАРЕЛКА С БОРТОМ 28 СМ "MYSTIC"</t>
  </si>
  <si>
    <t>13851/R</t>
  </si>
  <si>
    <t>ТАРЕЛКА С БОРТОМ 28 СМ "RIO"</t>
  </si>
  <si>
    <t>13126А-1790</t>
  </si>
  <si>
    <t>ТАРЕЛКА С БОРТОМ НА НОЖКЕ 21 СМ "MYSTIC"</t>
  </si>
  <si>
    <t>13850А-1794/R</t>
  </si>
  <si>
    <t>ТАРЕЛКА С БОРТОМ НА НОЖКЕ 21 СМ "RIO"</t>
  </si>
  <si>
    <t>13127А-1791</t>
  </si>
  <si>
    <t>ТАРЕЛКА С БОРТОМ НА НОЖКЕ 28 СМ "MYSTIC"</t>
  </si>
  <si>
    <t>13851А-1795/R</t>
  </si>
  <si>
    <t>ТАРЕЛКА С БОРТОМ НА НОЖКЕ 28 СМ "RIO"</t>
  </si>
  <si>
    <t>13128А-1792</t>
  </si>
  <si>
    <t>ТАРЕЛКА С БОРТОМ НА НОЖКЕ 32 СМ "MYSTIC"</t>
  </si>
  <si>
    <t>13131</t>
  </si>
  <si>
    <t>ТАРЕЛКА С ВЫСОКИМ БОРТОМ 21 СМ "MYSTIC"</t>
  </si>
  <si>
    <t>19876/4</t>
  </si>
  <si>
    <t>ТАРЕЛКА СРЕДНЯЯ "КОРИЧНЕВЫЙ ТУРМАЛИН" 28 СМ</t>
  </si>
  <si>
    <t>19668/1</t>
  </si>
  <si>
    <t>ТАРЕЛКА СРЕДНЯЯ "ОПАЛ БЕЛЫЙ" 28 СМ</t>
  </si>
  <si>
    <t>16629/2</t>
  </si>
  <si>
    <t>ТАРЕЛКА СРЕДНЯЯ "ТРОПИКИ ДЕНЬ И НОЧЬ" 28 СМ</t>
  </si>
  <si>
    <t>16297/1</t>
  </si>
  <si>
    <t>ТАРЕЛКА СРЕДНЯЯ «ЖАСМИН» ГОЛУБОЙ 28 CM (кор.6шт) 16297/1</t>
  </si>
  <si>
    <t>15995</t>
  </si>
  <si>
    <t>ТАРЕЛКА ФИГУРНАЯ 28 СМ</t>
  </si>
  <si>
    <t>11219S</t>
  </si>
  <si>
    <t>ТАРЕЛКА ФИГУРНАЯ ПРОЗРАЧНАЯ HORECE 28 СМ</t>
  </si>
  <si>
    <t>16579/B</t>
  </si>
  <si>
    <t>ТАРЕЛКА C БОРТОМ "ВИКТОРИЯ МАРРОУН" 28 СМ</t>
  </si>
  <si>
    <t>14182/B</t>
  </si>
  <si>
    <t>ТАРЕЛКА C БОРТОМ "TREND" 18 СМ BROWN</t>
  </si>
  <si>
    <t>14183/B</t>
  </si>
  <si>
    <t>ТАРЕЛКА C БОРТОМ "TREND" 21 СМ BROWN</t>
  </si>
  <si>
    <t>14183/G</t>
  </si>
  <si>
    <t>ТАРЕЛКА C БОРТОМ "TREND" 21 СМ GREY</t>
  </si>
  <si>
    <t>14184/B</t>
  </si>
  <si>
    <t>ТАРЕЛКА C БОРТОМ "TREND" 28 СМ BROWN</t>
  </si>
  <si>
    <t>14184/C</t>
  </si>
  <si>
    <t>ТАРЕЛКА C БОРТОМ "TREND" 28 СМ CREAM</t>
  </si>
  <si>
    <t>14185/В</t>
  </si>
  <si>
    <t>ТАРЕЛКА C БОРТОМ "TREND" 32 СМ BROWN</t>
  </si>
  <si>
    <t>16578</t>
  </si>
  <si>
    <t>ТАРЕЛКА C БОРТОМ "VICTORIA AZZURRO" 21 СМ</t>
  </si>
  <si>
    <t>16579</t>
  </si>
  <si>
    <t>ТАРЕЛКА C БОРТОМ "VICTORIA AZZURRO" 28 СМ</t>
  </si>
  <si>
    <t>16580</t>
  </si>
  <si>
    <t>ТАРЕЛКА C БОРТОМ "VICTORIA AZZURRO" 32 СМ</t>
  </si>
  <si>
    <t>16580/B</t>
  </si>
  <si>
    <t>ТАРЕЛКА C БОРТОМ "VICTORIA MARRONE" 32 СМ</t>
  </si>
  <si>
    <t>16578/G</t>
  </si>
  <si>
    <t>ТАРЕЛКА C БОРТОМ "VICTORIA REGINA" 21 СМ</t>
  </si>
  <si>
    <t>16579/G</t>
  </si>
  <si>
    <t>ТАРЕЛКА C БОРТОМ "VICTORIA REGINA" 28 СМ</t>
  </si>
  <si>
    <t>16580/G</t>
  </si>
  <si>
    <t>ТАРЕЛКА C БОРТОМ "VICTORIA REGINA" 32 СМ</t>
  </si>
  <si>
    <t>16578A</t>
  </si>
  <si>
    <t>ТАРЕЛКА C БОРТОМ НА НОЖКЕ "VICTORIA AZZURRO" 21 СМ</t>
  </si>
  <si>
    <t>16578A/B</t>
  </si>
  <si>
    <t>ТАРЕЛКА C БОРТОМ НА НОЖКЕ "VICTORIA MARRONE" 21 СМ</t>
  </si>
  <si>
    <t>16579A/B</t>
  </si>
  <si>
    <t>ТАРЕЛКА C БОРТОМ НА НОЖКЕ "VICTORIA MARRONE" 28 СМ</t>
  </si>
  <si>
    <t>16578A/G</t>
  </si>
  <si>
    <t>ТАРЕЛКА C БОРТОМ НА НОЖКЕ "VICTORIA REGIA" 21 СМ</t>
  </si>
  <si>
    <t>16579A/G</t>
  </si>
  <si>
    <t>ТАРЕЛКА C БОРТОМ НА НОЖКЕ "VICTORIA REGINA" 28 СМ</t>
  </si>
  <si>
    <t>17546/3</t>
  </si>
  <si>
    <t>ЧАША "АМЕТИСТ" 15см без упаковки (кор.8шт) 17546/3</t>
  </si>
  <si>
    <t>17907/G</t>
  </si>
  <si>
    <t>ЧАША "АНТИЧНАЯ РОЗА" 15 СМ ЗОЛОТО 17907/G</t>
  </si>
  <si>
    <t>17907/Р</t>
  </si>
  <si>
    <t>ЧАША "АНТИЧНАЯ РОЗА" 15 СМ ПЛАТИНА 17907/Р</t>
  </si>
  <si>
    <t>15767/1</t>
  </si>
  <si>
    <t>ЧАША "БАРОККО БЛЭК" 15см 15767/1</t>
  </si>
  <si>
    <t>15767/2</t>
  </si>
  <si>
    <t>ЧАША "БАРОККО ГОЛД" 15см 15767/2</t>
  </si>
  <si>
    <t>17821</t>
  </si>
  <si>
    <t>ЧАША "БАРХАТНАЯ ОСЕНЬ" 15см без упаковки (кор.8шт) 17821</t>
  </si>
  <si>
    <t>16581/2</t>
  </si>
  <si>
    <t>ЧАША "БУРГУНДСКАЯ КУВШИНКА" 10 СМ</t>
  </si>
  <si>
    <t>16610</t>
  </si>
  <si>
    <t>ЧАША "ВИНТАЖ" 15см без упаковки (кор.8шт) 16610</t>
  </si>
  <si>
    <t>14672/G</t>
  </si>
  <si>
    <t>ЧАША "ВИРДЖИНИЯ ЗОЛОТО" 15 СМ</t>
  </si>
  <si>
    <t>14672/S</t>
  </si>
  <si>
    <t>ЧАША "ВИРДЖИНИЯ СЕРЕБРО" 15 СМ</t>
  </si>
  <si>
    <t>13392</t>
  </si>
  <si>
    <t>ЧАША "ВОСТОРГ" 15 СМ</t>
  </si>
  <si>
    <t>13300/W</t>
  </si>
  <si>
    <t>ЧАША "ЗВЕЗДНОЕ НЕБО" 12 СМ, ДЕНЬ</t>
  </si>
  <si>
    <t>13300/В</t>
  </si>
  <si>
    <t>ЧАША "ЗВЕЗДНОЕ НЕБО" 12 СМ, НОЧЬ</t>
  </si>
  <si>
    <t>13297/W</t>
  </si>
  <si>
    <t>ЧАША "ЗВЕЗДНОЕ НЕБО" 18 СМ, ДЕНЬ () арт.13297/W</t>
  </si>
  <si>
    <t>13297/В</t>
  </si>
  <si>
    <t>ЧАША "ЗВЕЗДНОЕ НЕБО" 18 СМ, НОЧЬ () арт.13297/В</t>
  </si>
  <si>
    <t>13155/G</t>
  </si>
  <si>
    <t>ЧАША "ЗВЁЗДОЧКА" ЗЕЛЁНАЯ 15CM</t>
  </si>
  <si>
    <t>13155/D</t>
  </si>
  <si>
    <t>ЧАША "ЗВЁЗДОЧКА" ЗОЛОТАЯ 15CM</t>
  </si>
  <si>
    <t>13155/R</t>
  </si>
  <si>
    <t>ЧАША "ЗВЁЗДОЧКА" КРАСНАЯ 15CM</t>
  </si>
  <si>
    <t>16581/1</t>
  </si>
  <si>
    <t>ЧАША "ЗОЛОТАЯ КУВШИНКА" 10 СМ</t>
  </si>
  <si>
    <t>16184/3</t>
  </si>
  <si>
    <t>ЧАША "ЗОЛОТАЯ РОССЫПЬ" 15см без упаковки (кор.8шт) 16184/3</t>
  </si>
  <si>
    <t>14536/1</t>
  </si>
  <si>
    <t>ЧАША "ИЗОБИЛИЕ" 13 СМ</t>
  </si>
  <si>
    <t>16162/2</t>
  </si>
  <si>
    <t>ЧАША "КОРАЛЛОВЫЙ ЖЕМЧУГ" 15 СМ</t>
  </si>
  <si>
    <t>16581/4</t>
  </si>
  <si>
    <t>ЧАША "КУВШИНКА ИНДИАНА" 10 СМ</t>
  </si>
  <si>
    <t>16581/3</t>
  </si>
  <si>
    <t>ЧАША "КУВШИНКА НИМФЕЯ" 10 СМ</t>
  </si>
  <si>
    <t>17546/1</t>
  </si>
  <si>
    <t>ЧАША "ЛУННОЕ СИЯНИЕ" 15см без упаковки (кор.8шт) 17546/1</t>
  </si>
  <si>
    <t>18409/1</t>
  </si>
  <si>
    <t>ЧАША "ЛУННОЕ СИЯНИЕ" 20см без упаковки (кор.6шт) 18409/1</t>
  </si>
  <si>
    <t>15901/В</t>
  </si>
  <si>
    <t>ЧАША "ЛУННЫЙ БОСФОР" 15см 15901/В</t>
  </si>
  <si>
    <t>16184/2</t>
  </si>
  <si>
    <t>ЧАША "МЕРЦАНИЕ НОЧИ" 15 см без упаковки (кор.8шт) 16184/2</t>
  </si>
  <si>
    <t>16162/1</t>
  </si>
  <si>
    <t>ЧАША "МОРСКАЯ ЖЕМЧУЖИНА" 15 СМ</t>
  </si>
  <si>
    <t>15951/G</t>
  </si>
  <si>
    <t>ЧАША "НОВОГОДНЯЯ СКАЗКА" 21 СМ, зеленая</t>
  </si>
  <si>
    <t>15951/R</t>
  </si>
  <si>
    <t>ЧАША "НОВОГОДНЯЯ СКАЗКА" 21 СМ, красная</t>
  </si>
  <si>
    <t>15791/1</t>
  </si>
  <si>
    <t>ЧАША "ПЕЙСЛИ АНТРАЦИТ" 15см 15791/1</t>
  </si>
  <si>
    <t>15791/2</t>
  </si>
  <si>
    <t>ЧАША "ПЕЙСЛИ ЗОЛОТО" 15см 15791/2</t>
  </si>
  <si>
    <t>17173/2</t>
  </si>
  <si>
    <t>ЧАША "ПЛАМЯ ХЮРРЕМ" 15см без упаковки (кор.8шт) 17173/2</t>
  </si>
  <si>
    <t>14048/В</t>
  </si>
  <si>
    <t>ЧАША "РЕТРО БРИЗ" 13см 14048/В</t>
  </si>
  <si>
    <t>14051/В</t>
  </si>
  <si>
    <t>ЧАША "РЕТРО БРИЗ" 28см 14051/В</t>
  </si>
  <si>
    <t>14048/G</t>
  </si>
  <si>
    <t>ЧАША "РЕТРО GREY" 13см 14048/G</t>
  </si>
  <si>
    <t>14049/G</t>
  </si>
  <si>
    <t>ЧАША "РЕТРО GREY" 16см 14049/G</t>
  </si>
  <si>
    <t>14050/G</t>
  </si>
  <si>
    <t>ЧАША "РЕТРО GREY" 20см 14050/G</t>
  </si>
  <si>
    <t>15735/2</t>
  </si>
  <si>
    <t>ЧАША "РИВЬЕРА БРОНЗА" 15см 15735/2</t>
  </si>
  <si>
    <t>15735/1</t>
  </si>
  <si>
    <t>ЧАША "РИВЬЕРА ЖЕМЧУГ" 15см 15735/1</t>
  </si>
  <si>
    <t>ЧАША "РОЗОВЫЙ ЗАКАТ" 15см без упаковки (кор.8шт) 16408</t>
  </si>
  <si>
    <t>17546/2</t>
  </si>
  <si>
    <t>ЧАША "РУБИН" 15см без упаковки (кор.8шт) 17546/2</t>
  </si>
  <si>
    <t>16184/1</t>
  </si>
  <si>
    <t>ЧАША "СЕВЕРНАЯ ЗВЕЗДА" 15см без упаковки (кор.8шт) 16184/1</t>
  </si>
  <si>
    <t>17173/4</t>
  </si>
  <si>
    <t>ЧАША "СЕРЕБРО ХЮРРЕМ" 15 см (кор.8шт) арт.17173/4</t>
  </si>
  <si>
    <t>16345/S</t>
  </si>
  <si>
    <t>ЧАША "СНЕЖНЫЕ УЗОРЫ" 15 СМ БЕЛАЯ</t>
  </si>
  <si>
    <t>16345/R</t>
  </si>
  <si>
    <t>ЧАША "СНЕЖНЫЕ УЗОРЫ" 15 СМ КРАСНАЯ</t>
  </si>
  <si>
    <t>15338/W</t>
  </si>
  <si>
    <t>ЧАША "СНЕЖНЫЙ ВИХРЬ" 20 СМ БЕЛАЯ</t>
  </si>
  <si>
    <t>17855/С</t>
  </si>
  <si>
    <t>ЧАША "ТАЛИСМАН" 15 СМ БЕЖЕВАЯ 17855/С</t>
  </si>
  <si>
    <t>17855/В</t>
  </si>
  <si>
    <t>ЧАША "ТАЛИСМАН" 15 СМ КОРИЧНЕВАЯ 17855/В</t>
  </si>
  <si>
    <t>17855/R</t>
  </si>
  <si>
    <t>ЧАША "ТАЛИСМАН" 15 СМ КРАСНАЯ 17855/R</t>
  </si>
  <si>
    <t>17855/N</t>
  </si>
  <si>
    <t>ЧАША "ТАЛИСМАН" 15 СМ СИНЯЯ 17855/N</t>
  </si>
  <si>
    <t>15901/G</t>
  </si>
  <si>
    <t>ЧАША "УТРЕННИЙ БОСФОР" 15см 15901/G</t>
  </si>
  <si>
    <t>14264/R</t>
  </si>
  <si>
    <t>ЧАША "ФЕЙЕРВЕРК" 15 СМ КРАСНЫЙ</t>
  </si>
  <si>
    <t>14264/B</t>
  </si>
  <si>
    <t>ЧАША "ФЕЙЕРВЕРК" 15 СМ СИНИЙ</t>
  </si>
  <si>
    <t>14264/G</t>
  </si>
  <si>
    <t>ЧАША "ФЕЙЕРВЕРК" 15 СМ ШАМПАНЬ</t>
  </si>
  <si>
    <t>16118</t>
  </si>
  <si>
    <t>ЧАША "ХЭЛЛОУИН" 15см без упаковки (кор.8шт) 16118</t>
  </si>
  <si>
    <t>15721/2</t>
  </si>
  <si>
    <t>ЧАША "ЭЛЕОНОРА БРОНЗА" 15см () 15721/2</t>
  </si>
  <si>
    <t>15721/1</t>
  </si>
  <si>
    <t>ЧАША "ЭЛЕОНОРА ПАТИНА" 15см () 15721/1</t>
  </si>
  <si>
    <t>16530/R</t>
  </si>
  <si>
    <t>ЧАША "ЭЛИС" 15 СМ АЛЫЙ</t>
  </si>
  <si>
    <t>16530/G</t>
  </si>
  <si>
    <t>ЧАША "ЭЛИС" 15 СМ ЗОЛОТО</t>
  </si>
  <si>
    <t>16530/S</t>
  </si>
  <si>
    <t>ЧАША "ЭЛИС" 15 СМ ПЛАТИНА</t>
  </si>
  <si>
    <t>16276/B</t>
  </si>
  <si>
    <t>ЧАША "ARMONIA MARRONE" 21 СМ</t>
  </si>
  <si>
    <t>16276/P</t>
  </si>
  <si>
    <t>ЧАША "ARMONIA ROSA" 21 СМ</t>
  </si>
  <si>
    <t>597/B</t>
  </si>
  <si>
    <t>ЧАША "TREND" 10 СМ TRANSPARENT BROWN</t>
  </si>
  <si>
    <t>597/C</t>
  </si>
  <si>
    <t>ЧАША "TREND" 10 СМ TRANSPARENT CREAM</t>
  </si>
  <si>
    <t>597/G</t>
  </si>
  <si>
    <t>ЧАША "TREND" 10 СМ TRANSPARENT GREY</t>
  </si>
  <si>
    <t>16594</t>
  </si>
  <si>
    <t>ЧАША "VICTORIA AZZURRO" 12 СМ</t>
  </si>
  <si>
    <t>16594/B</t>
  </si>
  <si>
    <t>ЧАША "VICTORIA MARRONE" 12 СМ</t>
  </si>
  <si>
    <t>16594/G</t>
  </si>
  <si>
    <t>ЧАША "VICTORIA REGIA" 12 СМ</t>
  </si>
  <si>
    <t>16308/2</t>
  </si>
  <si>
    <t>ЧАША «ЖАСМИН» КРАСНЫЙ 15 CM (кор.8шт) 16308/2</t>
  </si>
  <si>
    <t>16308/S</t>
  </si>
  <si>
    <t>ЧАША «ФИАЛКА» 15 CM (Серебро) (кор.8шт) 16308/S</t>
  </si>
  <si>
    <t>19569</t>
  </si>
  <si>
    <t>ЧАША 14 CM РАКУШКА ГОЛУБАЯ</t>
  </si>
  <si>
    <t>19569R</t>
  </si>
  <si>
    <t>ЧАША 14 CM РАКУШКА КОРИЧНЕВАЯ</t>
  </si>
  <si>
    <t>19569B</t>
  </si>
  <si>
    <t>ЧАША 14 CM РАКУШКА СИНЯЯ</t>
  </si>
  <si>
    <t>13401</t>
  </si>
  <si>
    <t>ЧАША 15 СМ "ДИВО"</t>
  </si>
  <si>
    <t>19583/R</t>
  </si>
  <si>
    <t>ЧАША 15 СМ "КРАСКИ ОСЕНИ" КРАСНАЯ 19583/R</t>
  </si>
  <si>
    <t>19583/В</t>
  </si>
  <si>
    <t>ЧАША 15 СМ "КРАСКИ ОСЕНИ" ЯНТАРЬ 19583/В</t>
  </si>
  <si>
    <t>19583/G</t>
  </si>
  <si>
    <t>ЧАША 15 СМ "КРАСКИ ОСЕНИ" GREEN 19583/G</t>
  </si>
  <si>
    <t>17687</t>
  </si>
  <si>
    <t>ЧАША 15 СМ "ЛИМОН"</t>
  </si>
  <si>
    <t>16459/В</t>
  </si>
  <si>
    <t>ЧАША 15 СМ "INSPIRATION AMBER" 16459/В</t>
  </si>
  <si>
    <t>15735/Y</t>
  </si>
  <si>
    <t>ЧАША 15 СМ "MARSEILLE"</t>
  </si>
  <si>
    <t>13845/А</t>
  </si>
  <si>
    <t>ЧАША 21 СМ "АГАВА"</t>
  </si>
  <si>
    <t>17696</t>
  </si>
  <si>
    <t>ЧАША 23 СМ "ЛИМОН"</t>
  </si>
  <si>
    <t>19417/2</t>
  </si>
  <si>
    <t>ЧАША ГЛУБОКАЯ ОВАЛЬНАЯ "АКВАМАРИН" 16 СМ</t>
  </si>
  <si>
    <t>17819/9</t>
  </si>
  <si>
    <t>ЧАША ГЛУБОКАЯ УНИВЕРСАЛЬНАЯ арт.17819/9</t>
  </si>
  <si>
    <t>16118/2</t>
  </si>
  <si>
    <t>ЧАША КРУГЛАЯ "АКВАМАРИН" 15 СМ</t>
  </si>
  <si>
    <t>16118/1</t>
  </si>
  <si>
    <t>ЧАША КРУГЛАЯ "ОПАЛ БЕЛЫЙ" 15 СМ</t>
  </si>
  <si>
    <t>17289/1</t>
  </si>
  <si>
    <t>ЧАША МАЛЕНЬКАЯ "ВИРДЖИНИЯ АЛМАЗ" 15см без упаковки (кор.8шт) 17289/1</t>
  </si>
  <si>
    <t>17289/2</t>
  </si>
  <si>
    <t>ЧАША МАЛЕНЬКАЯ "ВИРДЖИНИЯ ХРУСТАЛЬ" 15см без упаковки (кор.8шт) 17289/2</t>
  </si>
  <si>
    <t>14049А/В</t>
  </si>
  <si>
    <t>ЧАША НА НОЖКЕ "РЕТРО БРИЗ" 16см 14049А/В</t>
  </si>
  <si>
    <t>14050А/В</t>
  </si>
  <si>
    <t>ЧАША НА НОЖКЕ "РЕТРО БРИЗ" 20см 14050А/В</t>
  </si>
  <si>
    <t>14049А/G</t>
  </si>
  <si>
    <t>ЧАША НА НОЖКЕ "РЕТРО GREY" 16см 14049А/G</t>
  </si>
  <si>
    <t>16536А/Р</t>
  </si>
  <si>
    <t>ЧАША НА НОЖКЕ "РОЗОВЫЙ ЛОТОС" 16см 16536А/Р</t>
  </si>
  <si>
    <t>16539А/Р</t>
  </si>
  <si>
    <t>ЧАША НА НОЖКЕ "РОЗОВЫЙ ЛОТОС" 27см 16539А/Р</t>
  </si>
  <si>
    <t>16536А/С</t>
  </si>
  <si>
    <t>ЧАША НА НОЖКЕ "СИРЕНЕВЫЙ ЛОТОС" 16см 16536А/С</t>
  </si>
  <si>
    <t>16539А/С</t>
  </si>
  <si>
    <t>ЧАША НА НОЖКЕ "СИРЕНЕВЫЙ ЛОТОС" 27см 16539А/С</t>
  </si>
  <si>
    <t>18979/1</t>
  </si>
  <si>
    <t>ЧАША ОВАЛЬНАЯ "ВИРДЖИНИЯ АЛМАЗ" 20см без упаковки (кор.4шт) 18979/1</t>
  </si>
  <si>
    <t>18981/1</t>
  </si>
  <si>
    <t>ЧАША ОВАЛЬНАЯ "ВИРДЖИНИЯ АЛМАЗ" 40см (кор.5шт) 18981/1</t>
  </si>
  <si>
    <t>14429/В</t>
  </si>
  <si>
    <t>ЧАША ОВАЛЬНАЯ 21 СМ "INSPIRATION AMBER" 14429/В</t>
  </si>
  <si>
    <t>14430/В</t>
  </si>
  <si>
    <t>ЧАША ОВАЛЬНАЯ 25 СМ "INSPIRATION AMBER" 14430/В</t>
  </si>
  <si>
    <t>19417/1</t>
  </si>
  <si>
    <t>ЧАША ОВАЛЬНАЯ МАЛЕНЬКАЯ "ОПАЛ БЕЛЫЙ" 16 СМ</t>
  </si>
  <si>
    <t>16003/2</t>
  </si>
  <si>
    <t>ЧАША ТРЕУГОЛЬНАЯ С ОГРУГЛЁННЫМИ КРАЯМИ "АКВАМАРИН" 29 СМ 16003/2</t>
  </si>
  <si>
    <t>16003/1</t>
  </si>
  <si>
    <t>ЧАША ТРЕУГОЛЬНАЯ С ОГРУГЛЁННЫМИ КРАЯМИ "ОПАЛ БЕЛЫЙ" 29 СМ</t>
  </si>
  <si>
    <t>17856-17857/AK</t>
  </si>
  <si>
    <t>ЭТАЖЕРКА "АЙВОРИ -КОРАЛЛЫ" 21 СМ - 28 CM</t>
  </si>
  <si>
    <t>17856-17856/OM</t>
  </si>
  <si>
    <t>ЭТАЖЕРКА "КАПУЧИНО - МОККО" 21 СМ - 28 CM</t>
  </si>
  <si>
    <t>16578-79K/B</t>
  </si>
  <si>
    <t>ЭТАЖЕРКА "VICTORIA MARRONE" 21‐ 28 СМ</t>
  </si>
  <si>
    <t>16499-500</t>
  </si>
  <si>
    <t>ЭТАЖЕРКА ДВУХЪЯРУСНАЯ "МАКИ" 21-28 СМ</t>
  </si>
  <si>
    <t>16487-16492</t>
  </si>
  <si>
    <t>ЭТАЖЕРКА ДВУХЪЯРУСНАЯ "РОМАШКИ" 18 - 30 СМ</t>
  </si>
  <si>
    <t>16578-79K</t>
  </si>
  <si>
    <t>ЭТАЖЕРКА ДВУХЯРУСНАЯ "VICTORIA AZZURRO" 21‐ 28 СМ</t>
  </si>
  <si>
    <t>16578-79K/G</t>
  </si>
  <si>
    <t>ЭТАЖЕРКА ДВУХЯРУСНАЯ "VICTORIA REGIA" 21‐ 28 СМ</t>
  </si>
  <si>
    <t>13064</t>
  </si>
  <si>
    <t>Чаша для хранения с крышкой ELENA 110 мл (8,5х8,5х4)</t>
  </si>
  <si>
    <t>13069</t>
  </si>
  <si>
    <t>Чаша для хранения с крышкой ELENA 1300 мл (20х20х7)</t>
  </si>
  <si>
    <t>13066</t>
  </si>
  <si>
    <t>Чаша для хранения с крышкой ELENA 320 мл (12х12х4,5)</t>
  </si>
  <si>
    <t>13067</t>
  </si>
  <si>
    <t>Чаша для хранения с крышкой ELENA 390 мл (13,5х13,5х5)</t>
  </si>
  <si>
    <t>13068</t>
  </si>
  <si>
    <t>Чаша для хранения с крышкой ELENA 720 мл (16х16х5,5)</t>
  </si>
  <si>
    <t>13007</t>
  </si>
  <si>
    <t>Чаша для хранения с крышкой ZELAZO 110 мл (8,5х8,5х4)</t>
  </si>
  <si>
    <t>13011</t>
  </si>
  <si>
    <t>Чаша для хранения с крышкой ZELAZO 1300 мл (20х20х7)</t>
  </si>
  <si>
    <t>13012</t>
  </si>
  <si>
    <t>Чаша для хранения с крышкой ZELAZO 200 мл (10х10х4,5)</t>
  </si>
  <si>
    <t>13008</t>
  </si>
  <si>
    <t>Чаша для хранения с крышкой ZELAZO 320 мл (12х12х4,5)</t>
  </si>
  <si>
    <t>13009</t>
  </si>
  <si>
    <t>Чаша для хранения с крышкой ZELAZO 390 мл (13,5х13,5х5)</t>
  </si>
  <si>
    <t>18419</t>
  </si>
  <si>
    <t>НАБОР ТАРЕЛОК "КУВШИНКА" 15 см 4 ШТУКИ 18419</t>
  </si>
  <si>
    <t>14322/P</t>
  </si>
  <si>
    <t>НАБОР ТАРЕЛОК "MAGMA HOUSE" 7 ПРЕДМЕТОВ ЖЁЛТЫЙ</t>
  </si>
  <si>
    <t>14322/PG</t>
  </si>
  <si>
    <t>НАБОР ТАРЕЛОК "MAGMA HOUSE" 7 ПРЕДМЕТОВ СЕРЫЙ</t>
  </si>
  <si>
    <t>16581</t>
  </si>
  <si>
    <t>НАБОР ЧАШ "MAGMA HOUSE" 6 ПРЕДМЕТОВ</t>
  </si>
  <si>
    <t>14147Р</t>
  </si>
  <si>
    <t>ЧАША "ГЕРБЕРА" 15 СМ</t>
  </si>
  <si>
    <t>14148P</t>
  </si>
  <si>
    <t>ЧАША "ЗОЛОТАЯ РОМАШКА" 15 СМ</t>
  </si>
  <si>
    <t>18265</t>
  </si>
  <si>
    <t>ЧАША "КРАСНЫЙ ЦВЕТОК" 15 СМ</t>
  </si>
  <si>
    <t>14147</t>
  </si>
  <si>
    <t>ЧАША "ЛАСКОВЫЙ МАЙ" 15 см</t>
  </si>
  <si>
    <t>14141</t>
  </si>
  <si>
    <t>ЧАША "ЛУГОВОЙ ЦВЕТОК" 15 СМ</t>
  </si>
  <si>
    <t>19953P</t>
  </si>
  <si>
    <t>ЧАША "СУККУЛЕНТ" 15 СМ</t>
  </si>
  <si>
    <t>14141Р</t>
  </si>
  <si>
    <t>ЧАША "ФИАЛКА" 15 СМ</t>
  </si>
  <si>
    <t>14150Р</t>
  </si>
  <si>
    <t>ЧАША "ЦВЕТОЧНАЯ ФАНТАЗИЯ" 15СМ</t>
  </si>
  <si>
    <t>AkuzPlastic</t>
  </si>
  <si>
    <t>2506/2521Z</t>
  </si>
  <si>
    <t>2506/2521Z Кашпо круглое зеленое 1,10л.15х12</t>
  </si>
  <si>
    <t>912</t>
  </si>
  <si>
    <t>0912 Стакан 500мл "Бодрум"</t>
  </si>
  <si>
    <t>0922F</t>
  </si>
  <si>
    <t>0922F Стакан 500мл "Элит" (фиолетовый)</t>
  </si>
  <si>
    <t>0922G</t>
  </si>
  <si>
    <t>0922G Стакан 500мл "Элит" (жёлтый)</t>
  </si>
  <si>
    <t>0922T</t>
  </si>
  <si>
    <t>0922T Стакан 500мл "Элит" (бирюза)</t>
  </si>
  <si>
    <t>0932C</t>
  </si>
  <si>
    <t>0932C Салатник 450мл прямоуг. "Аква" (синий)</t>
  </si>
  <si>
    <t>0933C</t>
  </si>
  <si>
    <t>0933C Салатник 750мл прямоуг. "Аква"(синий)</t>
  </si>
  <si>
    <t>0937О</t>
  </si>
  <si>
    <t>0937О Салатник 800мл квадратный "Аква"(оранж.)</t>
  </si>
  <si>
    <t>0943G</t>
  </si>
  <si>
    <t>0943G Салатник 750мл прямоуг."Бодрум"(желтый)</t>
  </si>
  <si>
    <t>0958C</t>
  </si>
  <si>
    <t>0958C Чаша для фруктов 800мл "Аква"(синий)</t>
  </si>
  <si>
    <t>0958R</t>
  </si>
  <si>
    <t>0958RЧаша для фруктов 800мл "Аква"(красный)</t>
  </si>
  <si>
    <t>0961O</t>
  </si>
  <si>
    <t>0961O Чаша для фруктов 800мл "Бодрум" (оранжевый)</t>
  </si>
  <si>
    <t>0993R</t>
  </si>
  <si>
    <t>0993R Салатник 800мл квадрат. "Моно"(красный)</t>
  </si>
  <si>
    <t>0993Z</t>
  </si>
  <si>
    <t>0993Z Салатник 800мл квадрат. "Моно"(зелёный)</t>
  </si>
  <si>
    <t>ЭЛФ068</t>
  </si>
  <si>
    <t>Комод "Классика" (плетенка) 4-х секционный</t>
  </si>
  <si>
    <t>BERLIN-ROYAL</t>
  </si>
  <si>
    <t>R208</t>
  </si>
  <si>
    <t>Кастрюля 10,0лт ROYAL нержавеющая сталь капсульное дно,30x20 со стальной крышкой</t>
  </si>
  <si>
    <t>R183</t>
  </si>
  <si>
    <t>Кастрюля 13,0лт ROYAL нержавеющая сталь капсульное дно,32x20 со стальной крышкой</t>
  </si>
  <si>
    <t>R184</t>
  </si>
  <si>
    <t>Кастрюля 16,0лт ROYAL нержавеющая сталь капсульное дно,34x20 со стальной крышкой</t>
  </si>
  <si>
    <t>R177</t>
  </si>
  <si>
    <t>Кастрюля 2,6 лт ROYAL нержавеющая сталькапсульное дно , 20x10 со стальной крышкой</t>
  </si>
  <si>
    <t>R-074</t>
  </si>
  <si>
    <t>Кастрюля 21,0лт ROYAL нержавеющая сталь капсульное дно, 36x24 со стальной крышкой</t>
  </si>
  <si>
    <t>R178</t>
  </si>
  <si>
    <t>Кастрюля 3,5 лт Royal нержавеющая сталь капсульное дно, 22x12 со стальной крышкой</t>
  </si>
  <si>
    <t>R278</t>
  </si>
  <si>
    <t>Кастрюля 44,0лт ROYAL нержавеющая сталь капсульное дно,45x29 со стальной крышкой</t>
  </si>
  <si>
    <t>R179</t>
  </si>
  <si>
    <t>Кастрюля 5,1 лт ROYAL нержавеющая сталь капсульное дно, 24x14 со стальной крышкой</t>
  </si>
  <si>
    <t>R279</t>
  </si>
  <si>
    <t>Кастрюля 54,0лт ROYAL нержавеющая сталь капсульное дно,50x30 со стальной крышкой</t>
  </si>
  <si>
    <t>7052</t>
  </si>
  <si>
    <t>КОВШ нержавеющая сталь14 см - 1,2 лт без крышки</t>
  </si>
  <si>
    <t>7053</t>
  </si>
  <si>
    <t>КОВШ нержавеющая сталь16 см - 1,5 лт без крышки</t>
  </si>
  <si>
    <t>7054</t>
  </si>
  <si>
    <t>КОВШ нержавеющая сталь18 см - 2,2 лт без крышки</t>
  </si>
  <si>
    <t>BORCAM</t>
  </si>
  <si>
    <t>59186-1109402</t>
  </si>
  <si>
    <t>BORCAM Мерная кружка 1000 мл</t>
  </si>
  <si>
    <t>59176-1109401</t>
  </si>
  <si>
    <t>BORCAM Мерная кружка 600 мл</t>
  </si>
  <si>
    <t>59534-1073141</t>
  </si>
  <si>
    <t>BORCAM БЛЮДО круглое гриль 1,72л (d-260мм h45мм)ПОДАРОЧНАЯ КОРОБКА</t>
  </si>
  <si>
    <t>59544-1073139</t>
  </si>
  <si>
    <t>BORCAM ГРИЛЬ КРУГЛЫЙ 2,95л (d-320мм h50мм) ПОДАРОЧНАЯ КОРОБКА</t>
  </si>
  <si>
    <t>59133-1109108 с пл.кр</t>
  </si>
  <si>
    <t>BORCAM кастрюля круглая 0,84л (d=150мм*190мм,h=60мм) с пластиковой крышкой</t>
  </si>
  <si>
    <t>59123-1109107 с пл.кр</t>
  </si>
  <si>
    <t>BORCAM кастрюля круглая 1,45л (218*187*76мм) с пластиковой крышкой,ПОДАРОЧНАЯ УПАКОВКА</t>
  </si>
  <si>
    <t>59001-1109106 с пл.кр.</t>
  </si>
  <si>
    <t>BORCAM кастрюля круглая 2,1л (251*22*80мм) с пластиковой крышкой ПОДАРОЧНАЯ КОРОБКА</t>
  </si>
  <si>
    <t>59033-1017150</t>
  </si>
  <si>
    <t>BORCAM кастрюля круглая с крышкой 0,84л+0,43л (d=150мм*190мм,h=60мм) ПОДАРОЧНАЯ КОРОБКА</t>
  </si>
  <si>
    <t>59023-1017146</t>
  </si>
  <si>
    <t>BORCAM кастрюля круглая с крышкой 1,5л ПОДАРОЧНАЯ КОРОБКА</t>
  </si>
  <si>
    <t>59013-1017142</t>
  </si>
  <si>
    <t>BORCAM кастрюля круглая с ст. крышкой 3,0л (270 mm x 239 mm) ПОДАРОЧНАЯ КОРОБКА</t>
  </si>
  <si>
    <t>59003-1017138</t>
  </si>
  <si>
    <t>BORCAM кастрюля круглая с ст.крышкой 2,1л (251*220мм) ПОДАРОЧНАЯ КОРОБКА</t>
  </si>
  <si>
    <t>59052-1017155</t>
  </si>
  <si>
    <t>BORCAM кастрюля овальная с крышкой 2850сс+1800сс ПОДАРОЧНАЯ КОРОБКА</t>
  </si>
  <si>
    <t>59044-1001202</t>
  </si>
  <si>
    <t>BORCAM лоток круглый 1,72л (45х260мм h45 мм) В РУБАШКЕ</t>
  </si>
  <si>
    <t>59014-1017143</t>
  </si>
  <si>
    <t>BORCAM лоток круглый 2,95л д.318 h45мм ПОДАРОЧНАЯ КОРОБКА</t>
  </si>
  <si>
    <t>59006-1002400</t>
  </si>
  <si>
    <t>BORCAM лоток прямоугольный 1,95л (336х190ммх50мм) ВКЛАДЫШ</t>
  </si>
  <si>
    <t>59006-1093247 с пл.кр.</t>
  </si>
  <si>
    <t>BORCAM лоток прямоугольный 1,95л (336х190х50мм) с пластиковой крышкой ПОДАРОЧНАЯ КОРОБКА</t>
  </si>
  <si>
    <t>159033-1017169</t>
  </si>
  <si>
    <t>BORCAM НАБОР форм для запекания 1,5+3 л</t>
  </si>
  <si>
    <t>159166-1080054</t>
  </si>
  <si>
    <t>BORCAM НАБОР формы для запекания 2 пр.(3л+1,6л)</t>
  </si>
  <si>
    <t>59394-1081320</t>
  </si>
  <si>
    <t>BORCAM Форма для запекания 3,2л 280*280*60 мм ПОДАРОЧНАЯ УПАКОВКА</t>
  </si>
  <si>
    <t>59034-1093249 с пл.кр</t>
  </si>
  <si>
    <t>BORCAM форма квадратная 1,95л с пластик.крышк.220х220х60мм.ПОДАРОЧНАЯ КОР.(256х220)вн разм.с ручка</t>
  </si>
  <si>
    <t>59034-1017151</t>
  </si>
  <si>
    <t>BORCAM форма квадратная 1,95л с ручк.220х220х60мм.(256х220) внеш размер с руч.ПОДАРОЧНАЯ КОРОБКА</t>
  </si>
  <si>
    <t>59854-1118133 с пл.кр.</t>
  </si>
  <si>
    <t>BORCAM форма прямоугольная для запекания 1л с пластиковой крышкой 210х164мм)</t>
  </si>
  <si>
    <t>59010-467275</t>
  </si>
  <si>
    <t>BORCAM форма прямоугольная с крышкой 2,8л (2,75л+1,37л) (339*190*70) В РУБАШКЕ</t>
  </si>
  <si>
    <t>59114-1045857</t>
  </si>
  <si>
    <t>BORCAM салатник круглый д.220мм 1,68л (d220мм h85мм ) ПОДАРОЧНАЯ КОРОБКА</t>
  </si>
  <si>
    <t>DARIIS</t>
  </si>
  <si>
    <t>55537</t>
  </si>
  <si>
    <t>Блюдо БЛЕСК 27 см</t>
  </si>
  <si>
    <t>55536</t>
  </si>
  <si>
    <t>Блюдо большое БЛЕСК 33 см</t>
  </si>
  <si>
    <t>55514</t>
  </si>
  <si>
    <t>Блюдо большое ВОСТОК 33 см</t>
  </si>
  <si>
    <t>55525</t>
  </si>
  <si>
    <t>Блюдо глубокое СОКРОВИЩЕ золотое 20 см</t>
  </si>
  <si>
    <t>55524</t>
  </si>
  <si>
    <t>Блюдо глубокое СОКРОВИЩЕ золотое 25 см () арт.55524</t>
  </si>
  <si>
    <t>55523</t>
  </si>
  <si>
    <t>Блюдо глубокое СОКРОВИЩЕ золотое 31 см () арт.55523</t>
  </si>
  <si>
    <t>55521</t>
  </si>
  <si>
    <t>Блюдо глубокое СОКРОВИЩЕ черное 20 см</t>
  </si>
  <si>
    <t>55520</t>
  </si>
  <si>
    <t>Блюдо глубокое СОКРОВИЩЕ черное 25 см () арт.55520</t>
  </si>
  <si>
    <t>55519</t>
  </si>
  <si>
    <t>Блюдо глубокое СОКРОВИЩЕ черное 31 см</t>
  </si>
  <si>
    <t>55513</t>
  </si>
  <si>
    <t>Блюдо ЗОЛОТОЙ РАССВЕТ 30 см () арт.55513</t>
  </si>
  <si>
    <t>55510</t>
  </si>
  <si>
    <t>Блюдо квадратное ЗОЛОТОЙ РАССВЕТ 22х22 см () арт.55510</t>
  </si>
  <si>
    <t>55511</t>
  </si>
  <si>
    <t>Блюдо квадратное ЗОЛОТОЙ РАССВЕТ 28х28 см () арт.55511</t>
  </si>
  <si>
    <t>55512</t>
  </si>
  <si>
    <t>Блюдо квадратное ЗОЛОТОЙ РАССВЕТ 33х33 см () арт.55512</t>
  </si>
  <si>
    <t>55533</t>
  </si>
  <si>
    <t>Блюдо МАГНОЛИЯ 27 см () арт.55533</t>
  </si>
  <si>
    <t>55534</t>
  </si>
  <si>
    <t>Блюдо МАГНОЛИЯ 33 см на ножке () арт.55534</t>
  </si>
  <si>
    <t>55538</t>
  </si>
  <si>
    <t>Блюдо на ножке БЛЕСК 33 см</t>
  </si>
  <si>
    <t>55503</t>
  </si>
  <si>
    <t>Блюдо на ножке ФЕЕРИЯ 18 см () арт.55503</t>
  </si>
  <si>
    <t>55504</t>
  </si>
  <si>
    <t>Блюдо на ножке ФЕЕРИЯ 24 см () арт.55504</t>
  </si>
  <si>
    <t>55509</t>
  </si>
  <si>
    <t>Блюдо ОПАЛ 25 см</t>
  </si>
  <si>
    <t>55505</t>
  </si>
  <si>
    <t>Блюдо ПУАНСЕТТИЯ белое 31 см () арт.55505</t>
  </si>
  <si>
    <t>55506</t>
  </si>
  <si>
    <t>Блюдо ПУАНСЕТТИЯ красное 31 см () арт.55506</t>
  </si>
  <si>
    <t>ELF25KY</t>
  </si>
  <si>
    <t>БЛЮДО СЕРВИРОВОЧНОЕ ОВАЛЬНОЕ 25 СМ "ELEGANT GOLD"</t>
  </si>
  <si>
    <t>ELF30KY</t>
  </si>
  <si>
    <t>БЛЮДО СЕРВИРОВОЧНОЕ ОВАЛЬНОЕ 30 СМ "ELEGANT GOLD"</t>
  </si>
  <si>
    <t>LIA30KY</t>
  </si>
  <si>
    <t>БЛЮДО СЕРВИРОВОЧНОЕ ОВАЛЬНОЕ 30 СМ "FOLKLORE"</t>
  </si>
  <si>
    <t>55507</t>
  </si>
  <si>
    <t>Блюдо СЕРЕБРЯНЫЙ ЦВЕТОК 29 см () арт.55507</t>
  </si>
  <si>
    <t>55517</t>
  </si>
  <si>
    <t>Блюдо СОКРОВИЩЕ золотое 20 см</t>
  </si>
  <si>
    <t>55518</t>
  </si>
  <si>
    <t>Блюдо СОКРОВИЩЕ золотое 27 см () арт.55518</t>
  </si>
  <si>
    <t>55515</t>
  </si>
  <si>
    <t>Блюдо СОКРОВИЩЕ черное 20 см</t>
  </si>
  <si>
    <t>55516</t>
  </si>
  <si>
    <t>Блюдо СОКРОВИЩЕ черное 27 см</t>
  </si>
  <si>
    <t>55508</t>
  </si>
  <si>
    <t>Ваза ОПАЛ 16 см</t>
  </si>
  <si>
    <t>55539</t>
  </si>
  <si>
    <t>Конфетница ЗЕЛЕНЫЙ ЛИСТ 20х27 см () арт.55539</t>
  </si>
  <si>
    <t>55535</t>
  </si>
  <si>
    <t>Набор блюд из 2-х предметов ЦВЕТЕНИЕ (24 см, 30 см) () арт.55535</t>
  </si>
  <si>
    <t>LIA14KS</t>
  </si>
  <si>
    <t>ПИАЛА 14 СМ "FOLKLORE"</t>
  </si>
  <si>
    <t>KAR14KS</t>
  </si>
  <si>
    <t>ПИАЛА 14 СМ "WOODLAND HARMONY"</t>
  </si>
  <si>
    <t>ELF15KS</t>
  </si>
  <si>
    <t>САЛАТНИК 15 СМ "ELEGANT GOLD"</t>
  </si>
  <si>
    <t>LIA16KS</t>
  </si>
  <si>
    <t>САЛАТНИК 16 СМ "FOLKLORE"</t>
  </si>
  <si>
    <t>KAR16KS</t>
  </si>
  <si>
    <t>САЛАТНИК 16 СМ "WOODLAND HARMONY"</t>
  </si>
  <si>
    <t>LIA19KS</t>
  </si>
  <si>
    <t>САЛАТНИК 19 СМ "FOLKLORE"</t>
  </si>
  <si>
    <t>55532</t>
  </si>
  <si>
    <t>Салатник МАГНОЛИЯ 21 см () арт.55532</t>
  </si>
  <si>
    <t>55531</t>
  </si>
  <si>
    <t>Салатник МАГНОЛИЯ 25 см () арт.55531</t>
  </si>
  <si>
    <t>KAR21DU</t>
  </si>
  <si>
    <t>Тарелка десерная 21 см "WOODLAND HARMONY"</t>
  </si>
  <si>
    <t>LIA20DU</t>
  </si>
  <si>
    <t>ТАРЕЛКА ДЕСЕРТНАЯ 20 СМ "FOLKLORE"</t>
  </si>
  <si>
    <t>ELF21DU</t>
  </si>
  <si>
    <t>ТАРЕЛКА ДЕСЕРТНАЯ 21 СМ "ELEGANT GOLD"</t>
  </si>
  <si>
    <t>LIA25DU</t>
  </si>
  <si>
    <t>ТАРЕЛКА ОБЕДЕННАЯ 25 СМ "FOLKLORE"</t>
  </si>
  <si>
    <t>KAR25DU</t>
  </si>
  <si>
    <t>ТАРЕЛКА ОБЕДЕННАЯ 25 СМ "WOODLAND HARMONY"</t>
  </si>
  <si>
    <t>ELF27DU</t>
  </si>
  <si>
    <t>ТАРЕЛКА ОБЕДЕННАЯ 27 СМ "ELEGANT GOLD"</t>
  </si>
  <si>
    <t>LIA27DU</t>
  </si>
  <si>
    <t>ТАРЕЛКА ПОДСТАНОВОЧНАЯ 27 СМ "FOLKLORE"</t>
  </si>
  <si>
    <t>KAR27DU</t>
  </si>
  <si>
    <t>ТАРЕЛКА ПОДСТАНОВОЧНАЯ 27 СМ "WOODLAND HARMONY"</t>
  </si>
  <si>
    <t>ELF21CK</t>
  </si>
  <si>
    <t>ТАРЕЛКА СУПОВАЯ 21 СМ "ELEGANT GOLD"</t>
  </si>
  <si>
    <t>KAR21CK</t>
  </si>
  <si>
    <t>ТАРЕЛКА СУПОВАЯ 21 СМ "WOODLAND HARMONY"</t>
  </si>
  <si>
    <t>LIA23CK</t>
  </si>
  <si>
    <t>ТАРЕЛКА СУПОВАЯ 23 СМ "FOLKLORE"</t>
  </si>
  <si>
    <t>55501</t>
  </si>
  <si>
    <t>Тарелка ФЕЕРИЯ 21 см () арт.55501</t>
  </si>
  <si>
    <t>55502</t>
  </si>
  <si>
    <t>Тарелка ФЕЕРИЯ 27 см () арт.55502</t>
  </si>
  <si>
    <t>55526</t>
  </si>
  <si>
    <t>Чаша СОКРОВИЩЕ золотое 15 см</t>
  </si>
  <si>
    <t>55522</t>
  </si>
  <si>
    <t>Чаша СОКРОВИЩЕ черное 15 см</t>
  </si>
  <si>
    <t>IA-24</t>
  </si>
  <si>
    <t>Адаптер для индукционной плиты 23,5см,Толщина 0,6 мм,2 слоя:из нержавеющая стальст.+алюм.,ручка из стали</t>
  </si>
  <si>
    <t>HH3030Y</t>
  </si>
  <si>
    <t>Доска кухонная 30*1.2 из пластика круглая с фотоизображением</t>
  </si>
  <si>
    <t>HH3535TB</t>
  </si>
  <si>
    <t>Доска кухонная 35*35*1,2 из пластика с поверхностью из бамбука</t>
  </si>
  <si>
    <t>L3702</t>
  </si>
  <si>
    <t>Ключ для открывания пробок (открывашка)</t>
  </si>
  <si>
    <t>46104 PF/56021</t>
  </si>
  <si>
    <t>КОНТЕЙНЕР 1040МЛ 198x148x59мм С КРЫШКОЙ DARIIS</t>
  </si>
  <si>
    <t>46152 PF/56022</t>
  </si>
  <si>
    <t>КОНТЕЙНЕР 1520МЛ 221х165х66мм С КРЫШКОЙ DARIIS</t>
  </si>
  <si>
    <t>46064 PF/56020</t>
  </si>
  <si>
    <t>КОНТЕЙНЕР 640МЛ 171х126х52мм С КРЫШКОЙ DARIIS</t>
  </si>
  <si>
    <t>DW150С</t>
  </si>
  <si>
    <t>Нож кухонный, 150мм, белая керам., Shark</t>
  </si>
  <si>
    <t>DW175B</t>
  </si>
  <si>
    <t>Нож кухонный, 175мм., белая керам, Classical</t>
  </si>
  <si>
    <t>KL321GF-E</t>
  </si>
  <si>
    <t>Терка из нержавеющая стальавеющей стали, 1 лезвие (без покрытия) "гитара"</t>
  </si>
  <si>
    <t>KRJYD745-8207</t>
  </si>
  <si>
    <t>Набор "FAMILY" из 4-х чашек, 300 мл</t>
  </si>
  <si>
    <t>KRJYD745-8207_2</t>
  </si>
  <si>
    <t>Набор "LIVING&amp;FAMILY" из 2-х чашек, 300 мл арт.KRJYD745-8207_2 ОБЕЧАЙКА</t>
  </si>
  <si>
    <t>KRJYD1104-K24411</t>
  </si>
  <si>
    <t>НАБОР "TEA" из 4-х чашек 320 мл</t>
  </si>
  <si>
    <t>KRJYD286-8206_6</t>
  </si>
  <si>
    <t>Набор из 2-х чашек "COFFEE" 340 мл</t>
  </si>
  <si>
    <t>KRJYD286-8206_5</t>
  </si>
  <si>
    <t>Набор из 2-х чашек "VANILLA&amp;MOCHA," 340 мл</t>
  </si>
  <si>
    <t>KRJYD452-K24412</t>
  </si>
  <si>
    <t>Набор из 4-х кружек "COFFEE", 370 мл</t>
  </si>
  <si>
    <t>KRJYD1104-K24412</t>
  </si>
  <si>
    <t>Набор чайный на 2 перс. "LATTE&amp;CAPPUCCINO", 320 мл</t>
  </si>
  <si>
    <t>0040-5</t>
  </si>
  <si>
    <t>0040-5 Сковорода-Садж чугунная 400мм, с2-мя литыми ручками, ТМ DARIIS</t>
  </si>
  <si>
    <t>0045-5</t>
  </si>
  <si>
    <t>0045-5 Сковорода-Садж чугунная 450мм, с2-мя литыми ручками,ТМ DARIIS</t>
  </si>
  <si>
    <t>1512-6</t>
  </si>
  <si>
    <t>1512-6 Казан чугунный походный 12л с алюминиевой крышкой и с дужкой ,д.320 ТМ DARIIS</t>
  </si>
  <si>
    <t>1515-6</t>
  </si>
  <si>
    <t>1515-6 Казан чугунный походный 15л с алюминиевой крышкой и с дужкой ,д.360 ТМ DARIIS</t>
  </si>
  <si>
    <t>1520-6</t>
  </si>
  <si>
    <t>1520-6 Казан чугунный походный 20л с алюминиевой крышкой и с дужкой ,д.400 ТМ DARIIS</t>
  </si>
  <si>
    <t>1612-6</t>
  </si>
  <si>
    <t>1612-6 Казан походный чугунный татарский 12л с алюминиевой крышкой и с дужкой д.400 ТМ DARIIS</t>
  </si>
  <si>
    <t>1615-6</t>
  </si>
  <si>
    <t>1615-6 Казан походный чугунный татарский 15л с алюминиевой крышкой и с дужкой д.450 ТМ DARIIS</t>
  </si>
  <si>
    <t>1618-6</t>
  </si>
  <si>
    <t>1618-6 Казан походный чугунный татарский 18л с алюминиевой крышкой и с дужкой д.500 ТМ DARIIS</t>
  </si>
  <si>
    <t>ЖМВ-26</t>
  </si>
  <si>
    <t>Жаровня 26 см МРАМОР 3,7л,с крышкой</t>
  </si>
  <si>
    <t>ЖМВ-28</t>
  </si>
  <si>
    <t>Жаровня 28 см МРАМОР 4,5 л, с крышкой, со сьемными ручками</t>
  </si>
  <si>
    <t>ЖБВР-24</t>
  </si>
  <si>
    <t>Жаровня ф 24 см ГРАНИТ МЕЧТА с крышкой, 3,0 л</t>
  </si>
  <si>
    <t>ЖБВР-26</t>
  </si>
  <si>
    <t>Жаровня ф 26 см ГРАНИТ МЕЧТА с крышкой, 3,0 л</t>
  </si>
  <si>
    <t>ЖБВР-28</t>
  </si>
  <si>
    <t>Жаровня ф 28 см ГРАНИТ МЕЧТА с крышкой, 3,5 л</t>
  </si>
  <si>
    <t>ЖБВР-32</t>
  </si>
  <si>
    <t>Жаровня ф 32 см ГРАНИТ МЕЧТА с крышкой, 5,5 л</t>
  </si>
  <si>
    <t>20-0</t>
  </si>
  <si>
    <t>Казан 20л для плова Алюминий с крышкой,без дужкиТМ DARIIS 20-0</t>
  </si>
  <si>
    <t>КЗ-4</t>
  </si>
  <si>
    <t>Казан 4,0л ГРАНИТ МЕЧТА с крышкой ф28</t>
  </si>
  <si>
    <t>КЗ-5</t>
  </si>
  <si>
    <t>Казан 5,0л ГРАНИТ МЕЧТА с крышкой ф28</t>
  </si>
  <si>
    <t>22-2</t>
  </si>
  <si>
    <t>Казан татарский 22л Алюминий с крышкой без дужки ТМ DARIIS 22-2</t>
  </si>
  <si>
    <t>01-3</t>
  </si>
  <si>
    <t>Кастрюля 1,0л Алюминий с крышкой без дужки ТМ DARIIS 01-3</t>
  </si>
  <si>
    <t>01,5-3</t>
  </si>
  <si>
    <t>Кастрюля 1,5л Алюминий с крышкой без дужки ТМ DARIIS 01,5-3</t>
  </si>
  <si>
    <t>СБВР-150</t>
  </si>
  <si>
    <t>Кастрюля 1,5л ГРАНИТ МЕЧТА с крышкой ф16</t>
  </si>
  <si>
    <t>СБВР-1000</t>
  </si>
  <si>
    <t>Кастрюля 10,0 л ГРАНИТ МЕЧТА ф32</t>
  </si>
  <si>
    <t>СБВР-200</t>
  </si>
  <si>
    <t>Кастрюля 2,0л ГРАНИТ МЕЧТА с крышкой ф20</t>
  </si>
  <si>
    <t>КС-300ВВ</t>
  </si>
  <si>
    <t>Кастрюля 3,0л ГРАНИТ (браун-браун)с крышкой ф20</t>
  </si>
  <si>
    <t>СБВР-300</t>
  </si>
  <si>
    <t>Кастрюля 3,0л ГРАНИТ МЕЧТА с крышкой ф24см</t>
  </si>
  <si>
    <t>FKU-3</t>
  </si>
  <si>
    <t>Кастрюля 3л DARIIS КуХмистер ф20 с крышкой арт.FKU-3</t>
  </si>
  <si>
    <t>СБВР-400</t>
  </si>
  <si>
    <t>Кастрюля 4,0л ГРАНИТ МЕЧТА с крышкой ф26</t>
  </si>
  <si>
    <t>КС-500ВВ</t>
  </si>
  <si>
    <t>Кастрюля 5,0л ГРАНИТ (браун-браун)с крышкой ф24</t>
  </si>
  <si>
    <t>СБВР-500</t>
  </si>
  <si>
    <t>Кастрюля 5,0л ГРАНИТ МЕЧТА ф26 с крышкой</t>
  </si>
  <si>
    <t>КС-500МВ</t>
  </si>
  <si>
    <t>Кастрюля 5,0л МРАМОР с крышкой ф24</t>
  </si>
  <si>
    <t>FKU-5</t>
  </si>
  <si>
    <t>Кастрюля 5л DARIIS КуХмистер ф24 с крышкой арт.FKU-5</t>
  </si>
  <si>
    <t>СБВР-700</t>
  </si>
  <si>
    <t>Кастрюля 7,0л ГРАНИТ МЕЧТА ф28см</t>
  </si>
  <si>
    <t>СБВР-800</t>
  </si>
  <si>
    <t>Кастрюля 8,0л ГРАНИТ МЕЧТА ф30см</t>
  </si>
  <si>
    <t>HUR-A-15398</t>
  </si>
  <si>
    <t>КАСТРЮЛЯ АЛЮМИНИЕВАЯ 1,2л DARIIS Индукция С КРЫШКОЙ 16 СМ</t>
  </si>
  <si>
    <t>HUR-A-15400</t>
  </si>
  <si>
    <t>КАСТРЮЛЯ АЛЮМИНИЕВАЯ 2,4л DARIIS Индукция С КРЫШКОЙ 20 СМ</t>
  </si>
  <si>
    <t>HUR-A-15401</t>
  </si>
  <si>
    <t>КАСТРЮЛЯ АЛЮМИНИЕВАЯ 3,0л DARIIS Индукция С КРЫШКОЙ 22 СМ</t>
  </si>
  <si>
    <t>HUR-S-14117</t>
  </si>
  <si>
    <t>КАСТРЮЛЯ нержавеющая сталь DARIIS "BISTRO'' 1,0 л 14х8 стеклянная крышкаа</t>
  </si>
  <si>
    <t>HUR-S-14118</t>
  </si>
  <si>
    <t>КАСТРЮЛЯ нержавеющая сталь DARIIS "BISTRO'' 1,4 л 16х8 стеклянная крышкаа</t>
  </si>
  <si>
    <t>HUR-S-14160</t>
  </si>
  <si>
    <t>КАСТРЮЛЯ нержавеющая сталь DARIIS "BISTRO'' 7,6л 26х16 стеклянная крышкаа</t>
  </si>
  <si>
    <t>HUR-S-14163</t>
  </si>
  <si>
    <t>КАСТРЮЛЯ нержавеющая сталь DARIIS "BISTRO''17,0л 34х20 с стеклянная крышкаа</t>
  </si>
  <si>
    <t>CNR-718</t>
  </si>
  <si>
    <t>КАСТРЮЛЯ нержавеющая сталь DARIIS ÇINAR 2,5 л C КРЫШКОЙ ф18см (2 слива)</t>
  </si>
  <si>
    <t>CNR-722</t>
  </si>
  <si>
    <t>КАСТРЮЛЯ нержавеющая сталь DARIIS ÇINAR 3,1 л C КРЫШКОЙ ф20см (2 слива)</t>
  </si>
  <si>
    <t>CNR-726</t>
  </si>
  <si>
    <t>КАСТРЮЛЯ нержавеющая сталь DARIIS ÇINAR 3,7 л C КРЫШКОЙ ф22см (2 слива)</t>
  </si>
  <si>
    <t>ISL-719(120485)</t>
  </si>
  <si>
    <t>КАСТРЮЛЯ нержавеющая сталь DARIIS ISILTI 2,5 л C КРЫШКОЙ ф18см (2 слива)</t>
  </si>
  <si>
    <t>ISL-723(120486)</t>
  </si>
  <si>
    <t>КАСТРЮЛЯ нержавеющая сталь DARIIS ISILTI 3,1 л C КРЫШКОЙ ф20см (2 слива)</t>
  </si>
  <si>
    <t>ISL-727(120487)</t>
  </si>
  <si>
    <t>КАСТРЮЛЯ нержавеющая сталь DARIIS ISILTI 3,7 л C КРЫШКОЙ ф22см (2 слива)</t>
  </si>
  <si>
    <t>NOT-721 (120488)</t>
  </si>
  <si>
    <t>КАСТРЮЛЯ нержавеющая сталь DARIIS NOTE 2,5 л C КРЫШКОЙ ф18см (2 слива)</t>
  </si>
  <si>
    <t>NOT-725(120489)</t>
  </si>
  <si>
    <t>КАСТРЮЛЯ нержавеющая сталь DARIIS NOTE 3,1 л C КРЫШКОЙ ф20см (2 слива)</t>
  </si>
  <si>
    <t>NOT-729(120490)</t>
  </si>
  <si>
    <t>КАСТРЮЛЯ нержавеющая сталь DARIIS NOTE 3,7 л C КРЫШКОЙ ф22см (2 слива)</t>
  </si>
  <si>
    <t>PNT-724</t>
  </si>
  <si>
    <t>КАСТРЮЛЯ нержавеющая сталь DARIIS PUNTO 3,1 л C КРЫШКОЙ ф20см (2 слива)</t>
  </si>
  <si>
    <t>PNT-728</t>
  </si>
  <si>
    <t>КАСТРЮЛЯ нержавеющая сталь DARIIS PUNTO 3,7 л C КРЫШКОЙ ф22см (2 слива)</t>
  </si>
  <si>
    <t>HUR-S-15201</t>
  </si>
  <si>
    <t>КАСТРЮЛЯ нержавеющая сталь1,3л 14х08 СМ DARIIS "SENSO" со стеклянная крышкаой</t>
  </si>
  <si>
    <t>HUR-S-15202</t>
  </si>
  <si>
    <t>КАСТРЮЛЯ нержавеющая сталь1,6л 16х08 СМ DARIIS "SENSO" со стеклянная крышкаой</t>
  </si>
  <si>
    <t>HUR-S-14146</t>
  </si>
  <si>
    <t>КАСТРЮЛЯ нержавеющая сталь12,0л 30x18 СМ DARIIS "SENSO" с стеклянная крышкаой</t>
  </si>
  <si>
    <t>HUR-S-13041</t>
  </si>
  <si>
    <t>КАСТРЮЛЯ нержавеющая сталь2,5л 18x10 СМ DARIIS "SENSO" с стеклянная крышкаой</t>
  </si>
  <si>
    <t>HUR-S-13141/14141</t>
  </si>
  <si>
    <t>КАСТРЮЛЯ нержавеющая сталь3,1л 20x12 СМ DARIIS "NEO SENSO" с стеклянная крышкаой</t>
  </si>
  <si>
    <t>HUR-S-13042</t>
  </si>
  <si>
    <t>КАСТРЮЛЯ нержавеющая сталь3,7л 20x12 СМ DARIIS "SENSO" с стеклянная крышкаой</t>
  </si>
  <si>
    <t>HUR-S-13043</t>
  </si>
  <si>
    <t>КАСТРЮЛЯ нержавеющая сталь4,5л 22x12 СМ DARIIS "SENSO" с стеклянная крышкаой</t>
  </si>
  <si>
    <t>HUR-S-13044</t>
  </si>
  <si>
    <t>КАСТРЮЛЯ нержавеющая сталь6,3л 24x14 СМ DARIIS "SENSO" с стеклянная крышкаой</t>
  </si>
  <si>
    <t>КБВР-075</t>
  </si>
  <si>
    <t>Ковш 0,75л ГРАНИТ МЕЧТА с крышкой ф14см</t>
  </si>
  <si>
    <t>КБВР-100</t>
  </si>
  <si>
    <t>Ковш 1,0л ГРАНИТ МЕЧТА с крышкой ф16</t>
  </si>
  <si>
    <t>К-150ВВ</t>
  </si>
  <si>
    <t>Ковш 1,5л ГРАНИТ (браун-браун)с крышкой ф16</t>
  </si>
  <si>
    <t>КБВР-150</t>
  </si>
  <si>
    <t>Ковш 1,5л ГРАНИТ МЕЧТА с крышкой ф18</t>
  </si>
  <si>
    <t>К-150МВ</t>
  </si>
  <si>
    <t>Ковш 1,5л МРАМОР с крышкой ф16</t>
  </si>
  <si>
    <t>К-200ВВ</t>
  </si>
  <si>
    <t>Ковш 2,0л ГРАНИТ (браун-браун)с крышкой ф18</t>
  </si>
  <si>
    <t>КБВР-200</t>
  </si>
  <si>
    <t>Ковш 2,0л ГРАНИТ МЕЧТА с крышкой ф20</t>
  </si>
  <si>
    <t>К-200МВ</t>
  </si>
  <si>
    <t>Ковш 2,0л МРАМОР с крышкой ф18</t>
  </si>
  <si>
    <t>RKO-2</t>
  </si>
  <si>
    <t>Ковш 2л DARIIS КуХмистер ф20 с крышкой арт.RKO-2</t>
  </si>
  <si>
    <t>HUR-S-14116</t>
  </si>
  <si>
    <t>КОВШ нержавеющая сталь DARIIS "BISTRO'' 1,7л 16х10 стеклянная крышкаа</t>
  </si>
  <si>
    <t>В65114</t>
  </si>
  <si>
    <t>Ковш штамп.14 см, л Алюминий с противоприг. покр.(без крышки) DARIIS "ЭКОНОМ-СОТЫ"</t>
  </si>
  <si>
    <t>LCS65114</t>
  </si>
  <si>
    <t>Ковш штамп.14 см,0,8л Алюминий с противоприг. покр.(без крышки) DARIIS "Эконом"</t>
  </si>
  <si>
    <t>LCS65116</t>
  </si>
  <si>
    <t>Ковш штамп.16 см,1,1л Алюминий с противоприг. покр.(без крышки) DARIIS "Эконом"</t>
  </si>
  <si>
    <t>В65118</t>
  </si>
  <si>
    <t>Ковш штамп.18 см, л Алюминий с противоприг. покр.(без крышки) DARIIS "ЭКОНОМ-СОТЫ"</t>
  </si>
  <si>
    <t>LCS65118</t>
  </si>
  <si>
    <t>Ковш штамп.18 см,1,8л Алюминий с противоприг. покр.(без крышки) DARIIS "Эконом"</t>
  </si>
  <si>
    <t>LV-TKA218Y</t>
  </si>
  <si>
    <t>Крышка жаропрочная Dariis ф 18</t>
  </si>
  <si>
    <t>LV-TKA226Y</t>
  </si>
  <si>
    <t>Крышка жаропрочная Dariis ф 26</t>
  </si>
  <si>
    <t>LV-TKA230Y</t>
  </si>
  <si>
    <t>Крышка жаропрочная Dariis ф 30</t>
  </si>
  <si>
    <t>HS-L12B</t>
  </si>
  <si>
    <t>Крышка силиконовая "Незакипайка"арт.HS-L12B D32см, h29,5см</t>
  </si>
  <si>
    <t>4716</t>
  </si>
  <si>
    <t>Крышка стеклянная с метал/обод 16 см низ</t>
  </si>
  <si>
    <t>4720</t>
  </si>
  <si>
    <t>Крышка стеклянная с метал/обод 20 см низ</t>
  </si>
  <si>
    <t>4726</t>
  </si>
  <si>
    <t>Крышка стеклянная с метал/обод 26 см низ</t>
  </si>
  <si>
    <t>ОЛ-2</t>
  </si>
  <si>
    <t>Оладница 24см "СЕРДЕЧКИ" ГРАНИТ МЕЧТА</t>
  </si>
  <si>
    <t>LCS21250</t>
  </si>
  <si>
    <t>Противень 190х250 см штампованный (выс.борт) DARIIS "Эконом"</t>
  </si>
  <si>
    <t>LCS21300</t>
  </si>
  <si>
    <t>Противень 250х300 см штампованный (выс.борт) DARIIS "Эконом"</t>
  </si>
  <si>
    <t>П210МВ</t>
  </si>
  <si>
    <t>Противень утолщенный 335х220 х55мм МРАМОР (дно 6мм,стенки-4,5мм )</t>
  </si>
  <si>
    <t>П210ВВ</t>
  </si>
  <si>
    <t>Противень утолщенный 335х220х55мм БРАУН-БРАУН (дно 6мм,стенки-4,5мм )</t>
  </si>
  <si>
    <t>П260ВВ</t>
  </si>
  <si>
    <t>Противень утолщенный 365х260х55мм БРАУН-БРАУН (дно 6мм,стенки-4,5мм ) 3,5л</t>
  </si>
  <si>
    <t>П260МВ</t>
  </si>
  <si>
    <t>Противень утолщенный 365х260х55мм МРАМОР (дно 6мм,стенки-4,5мм ) 3,5л</t>
  </si>
  <si>
    <t>LCS14222</t>
  </si>
  <si>
    <t>Сковорода 22см штампованная DARIIS "Эконом" съемная ручка</t>
  </si>
  <si>
    <t>LCS14224</t>
  </si>
  <si>
    <t>Сковорода 24см штампованная DARIIS "Эконом" съемная ручка</t>
  </si>
  <si>
    <t>В23226</t>
  </si>
  <si>
    <t>Сковорода 26см штампованная DARIIS "ЭКОНОМ-СОТЫ" съемн/ручка,(серо-черное вн.покр.)</t>
  </si>
  <si>
    <t>LCS14226</t>
  </si>
  <si>
    <t>Сковорода 26см штампованная DARIIS "Эконом" съемная ручка</t>
  </si>
  <si>
    <t>В23128</t>
  </si>
  <si>
    <t>Сковорода 28см штампованная DARIIS "ЭКОНОМ-СОТЫ" н/ручка,(серо-черное внешнее покр.)</t>
  </si>
  <si>
    <t>В23228</t>
  </si>
  <si>
    <t>Сковорода 28см штампованная DARIIS "ЭКОНОМ-СОТЫ" съемн/ручка,(серо-черное вн.покр.)</t>
  </si>
  <si>
    <t>LCS14328</t>
  </si>
  <si>
    <t>Сковорода 28см штампованная DARIIS "Эконом" н/ручка</t>
  </si>
  <si>
    <t>LCS14228</t>
  </si>
  <si>
    <t>Сковорода 28см штампованная DARIIS "Эконом" съемная ручка</t>
  </si>
  <si>
    <t>БВР-20</t>
  </si>
  <si>
    <t>Сковорода блинная 20см ГРАНИТ МЕЧТА</t>
  </si>
  <si>
    <t>СБ-22-ВВ</t>
  </si>
  <si>
    <t>Сковорода блинная 22см ГРАНИТ (браун-браун)</t>
  </si>
  <si>
    <t>БВР-22</t>
  </si>
  <si>
    <t>Сковорода блинная 22см ГРАНИТ МЕЧТА</t>
  </si>
  <si>
    <t>СБ-22-МВ</t>
  </si>
  <si>
    <t>Сковорода блинная 22см МРАМОР</t>
  </si>
  <si>
    <t>СБ-24-ВВ</t>
  </si>
  <si>
    <t>Сковорода блинная 24см ГРАНИТ (браун-браун)</t>
  </si>
  <si>
    <t>БВР-24</t>
  </si>
  <si>
    <t>Сковорода блинная 24см ГРАНИТ МЕЧТА</t>
  </si>
  <si>
    <t>СБ240</t>
  </si>
  <si>
    <t>Сковорода блинная 24см КЛАССИК с антипригарное покрытие</t>
  </si>
  <si>
    <t>СБ-24-МВ</t>
  </si>
  <si>
    <t>Сковорода блинная 24см МРАМОР</t>
  </si>
  <si>
    <t>В52124</t>
  </si>
  <si>
    <t>Сковорода блинная 24см штампованная DARIIS "ЭКОНОМ-СОТЫ" н/ручка</t>
  </si>
  <si>
    <t>LCS52124</t>
  </si>
  <si>
    <t>Сковорода блинная 24см штампованная DARIIS "Эконом" н/ручка</t>
  </si>
  <si>
    <t>БВР-26</t>
  </si>
  <si>
    <t>Сковорода блинная 26см ГРАНИТ МЕЧТА</t>
  </si>
  <si>
    <t>СБ260</t>
  </si>
  <si>
    <t>Сковорода блинная 26см КЛАССИК с антипригарное покрытие</t>
  </si>
  <si>
    <t>СБ-26-МВ</t>
  </si>
  <si>
    <t>Сковорода блинная 26см МРАМОР</t>
  </si>
  <si>
    <t>ОЛ-3</t>
  </si>
  <si>
    <t>Сковорода блинная 32см (чудушница)</t>
  </si>
  <si>
    <t>ПЛ-18</t>
  </si>
  <si>
    <t>Сковорода глубокая 18см ГРАНИТ МЕЧТА БЕЗ КРЫШКИ</t>
  </si>
  <si>
    <t>HUR-A-107 ВВ</t>
  </si>
  <si>
    <t>Сковорода глубокая 20см ГРАНИТ (браун-браун) без крышки</t>
  </si>
  <si>
    <t>ПЛ-20</t>
  </si>
  <si>
    <t>Сковорода глубокая 20см ГРАНИТ МЕЧТА БЕЗ КРЫШКИ</t>
  </si>
  <si>
    <t>ПЛ-20-НН</t>
  </si>
  <si>
    <t>Сковорода глубокая 20см ГРАНИТ МЕЧТА БЕЗ КРЫШКИ съемная ручка</t>
  </si>
  <si>
    <t>БВР-107</t>
  </si>
  <si>
    <t>Сковорода глубокая 20см ГРАНИТ МЕЧТА с крышкой</t>
  </si>
  <si>
    <t>БВР-107 НН</t>
  </si>
  <si>
    <t>Сковорода глубокая 20см ГРАНИТ МЕЧТА с крышкой, съемная ручка</t>
  </si>
  <si>
    <t>HUR-A-107 DВВ</t>
  </si>
  <si>
    <t>Сковорода глубокая 20см ГРАНИТ съемная ручка (браун-браун) без крышки</t>
  </si>
  <si>
    <t>СЛ200</t>
  </si>
  <si>
    <t>Сковорода глубокая 20см КЛАССИК с антипригарное покрытие</t>
  </si>
  <si>
    <t>СЛ200-СР</t>
  </si>
  <si>
    <t>Сковорода глубокая 20см КЛАССИК с антипригарное покрытие,съемная ручка</t>
  </si>
  <si>
    <t>HUR-A-108 ВВ</t>
  </si>
  <si>
    <t>Сковорода глубокая 22см ГРАНИТ (браун-браун) без крышки</t>
  </si>
  <si>
    <t>ПЛ-22</t>
  </si>
  <si>
    <t>Сковорода глубокая 22см ГРАНИТ МЕЧТА БЕЗ КРЫШКИ</t>
  </si>
  <si>
    <t>ПЛ-22-НН</t>
  </si>
  <si>
    <t>Сковорода глубокая 22см ГРАНИТ МЕЧТА БЕЗ КРЫШКИ съемная ручка</t>
  </si>
  <si>
    <t>БВР-108</t>
  </si>
  <si>
    <t>Сковорода глубокая 22см ГРАНИТ МЕЧТА с крышкой</t>
  </si>
  <si>
    <t>БВР-108 НН</t>
  </si>
  <si>
    <t>Сковорода глубокая 22см ГРАНИТ МЕЧТА с крышкой, съемная ручка</t>
  </si>
  <si>
    <t>HUR-A-108 DВВ</t>
  </si>
  <si>
    <t>Сковорода глубокая 22см ГРАНИТ съемная ручка (браун-браун) без крышки</t>
  </si>
  <si>
    <t>120757</t>
  </si>
  <si>
    <t>Сковорода глубокая 22см ГРАНИТ GOLD антипригарное покрытие,ручка в цвет</t>
  </si>
  <si>
    <t>120767</t>
  </si>
  <si>
    <t>Сковорода глубокая 22см ГРАНИТ GOLD антипригарное покрытие,съемная ручка,ручка в цвет</t>
  </si>
  <si>
    <t>СЛ220</t>
  </si>
  <si>
    <t>Сковорода глубокая 22см КЛАССИК с антипригарное покрытие</t>
  </si>
  <si>
    <t>СЛ220-СР</t>
  </si>
  <si>
    <t>Сковорода глубокая 22см КЛАССИК с антипригарное покрытие,съемная ручка</t>
  </si>
  <si>
    <t>HUR-A-108 MB</t>
  </si>
  <si>
    <t>Сковорода глубокая 22см МРАМОР антипригарное покрытие,без крышки</t>
  </si>
  <si>
    <t>HUR-A-108 DMВ</t>
  </si>
  <si>
    <t>Сковорода глубокая 22см МРАМОР антипригарное покрытие,съемная руч.без крышки</t>
  </si>
  <si>
    <t>HUR-A-15408</t>
  </si>
  <si>
    <t>СКОВОРОДА ГЛУБОКАЯ 24 СМ DARIIS Индукция БЕЗ КРЫШКИ,Съемная ручка</t>
  </si>
  <si>
    <t>HUR-A-109 ВВ</t>
  </si>
  <si>
    <t>Сковорода глубокая 24см ГРАНИТ (браун-браун) без крышки</t>
  </si>
  <si>
    <t>ПЛ-24</t>
  </si>
  <si>
    <t>Сковорода глубокая 24см ГРАНИТ МЕЧТА БЕЗ КРЫШКИ</t>
  </si>
  <si>
    <t>ПЛ-24-НН</t>
  </si>
  <si>
    <t>Сковорода глубокая 24см ГРАНИТ МЕЧТА БЕЗ КРЫШКИ съемная ручка</t>
  </si>
  <si>
    <t>БВР-109</t>
  </si>
  <si>
    <t>Сковорода глубокая 24см ГРАНИТ МЕЧТА с крышкой</t>
  </si>
  <si>
    <t>БВР-109 НН</t>
  </si>
  <si>
    <t>Сковорода глубокая 24см ГРАНИТ МЕЧТА с крышкой, съемная ручка</t>
  </si>
  <si>
    <t>HUR-A-109 DВВ</t>
  </si>
  <si>
    <t>Сковорода глубокая 24см ГРАНИТ съемная ручка (браун-браун) без крышки</t>
  </si>
  <si>
    <t>120759</t>
  </si>
  <si>
    <t>Сковорода глубокая 24см ГРАНИТ GOLD антипригарное покрытие,ручка в цвет</t>
  </si>
  <si>
    <t>120769</t>
  </si>
  <si>
    <t>Сковорода глубокая 24см ГРАНИТ GOLD антипригарное покрытие,съемная ручка,ручка в цвет (10 арт.120769</t>
  </si>
  <si>
    <t>СЛ240</t>
  </si>
  <si>
    <t>Сковорода глубокая 24см КЛАССИК с антипригарное покрытие</t>
  </si>
  <si>
    <t>СЛ240-СР</t>
  </si>
  <si>
    <t>Сковорода глубокая 24см КЛАССИК с антипригарное покрытие,съемная ручка</t>
  </si>
  <si>
    <t>HUR-A-109 DMВ</t>
  </si>
  <si>
    <t>Сковорода глубокая 24см МРАМОР антипригарное покрытие,съемная руч.без крышки</t>
  </si>
  <si>
    <t>HUR-A-15409</t>
  </si>
  <si>
    <t>СКОВОРОДА ГЛУБОКАЯ 26 СМ DARIIS Индукция БЕЗ КРЫШКИ,Съемная ручка</t>
  </si>
  <si>
    <t>HUR-A-110 ВВ</t>
  </si>
  <si>
    <t>Сковорода глубокая 26см ГРАНИТ (браун-браун) без крышки</t>
  </si>
  <si>
    <t>ПЛ-26</t>
  </si>
  <si>
    <t>Сковорода глубокая 26см ГРАНИТ МЕЧТА БЕЗ КРЫШКИ</t>
  </si>
  <si>
    <t>ПЛ-26-НН</t>
  </si>
  <si>
    <t>Сковорода глубокая 26см ГРАНИТ МЕЧТА БЕЗ КРЫШКИ съемная ручка</t>
  </si>
  <si>
    <t>БВР-110</t>
  </si>
  <si>
    <t>Сковорода глубокая 26см ГРАНИТ МЕЧТА с крышкой</t>
  </si>
  <si>
    <t>БВР-110 НН</t>
  </si>
  <si>
    <t>Сковорода глубокая 26см ГРАНИТ МЕЧТА с крышкой, съемная ручка</t>
  </si>
  <si>
    <t>HUR-A-110 DВВ</t>
  </si>
  <si>
    <t>Сковорода глубокая 26см ГРАНИТ съемная ручка (браун-браун) без крышки</t>
  </si>
  <si>
    <t>120761</t>
  </si>
  <si>
    <t>Сковорода глубокая 26см ГРАНИТ GOLD антипригарное покрытие,ручка в цвет</t>
  </si>
  <si>
    <t>120771</t>
  </si>
  <si>
    <t>Сковорода глубокая 26см ГРАНИТ GOLD антипригарное покрытие,съемная ручка,ручка в цвет</t>
  </si>
  <si>
    <t>СЛ260-СР</t>
  </si>
  <si>
    <t>Сковорода глубокая 26см КЛАССИК с антипригарное покрытие,съемная ручка</t>
  </si>
  <si>
    <t>HUR-A-110 MB</t>
  </si>
  <si>
    <t>Сковорода глубокая 26см МРАМОР антипригарное покрытие,без крышки</t>
  </si>
  <si>
    <t>HUR-A-110 DMВ</t>
  </si>
  <si>
    <t>Сковорода глубокая 26см МРАМОР антипригарное покрытие,съемная руч.без крышки</t>
  </si>
  <si>
    <t>HUR-A-15410</t>
  </si>
  <si>
    <t>СКОВОРОДА ГЛУБОКАЯ 28 СМ DARIIS Индукция БЕЗ КРЫШКИ,Съемная ручка</t>
  </si>
  <si>
    <t>HUR-A-111 ВВ</t>
  </si>
  <si>
    <t>Сковорода глубокая 28см ГРАНИТ (браун-браун) без крышки</t>
  </si>
  <si>
    <t>ПЛ-28</t>
  </si>
  <si>
    <t>Сковорода глубокая 28см ГРАНИТ МЕЧТА БЕЗ КРЫШКИ</t>
  </si>
  <si>
    <t>ПЛ-28-НН</t>
  </si>
  <si>
    <t>Сковорода глубокая 28см ГРАНИТ МЕЧТА БЕЗ КРЫШКИ съемная ручка</t>
  </si>
  <si>
    <t>БВР-111</t>
  </si>
  <si>
    <t>Сковорода глубокая 28см ГРАНИТ МЕЧТА с крышкой</t>
  </si>
  <si>
    <t>БВР-111 НН</t>
  </si>
  <si>
    <t>Сковорода глубокая 28см ГРАНИТ МЕЧТА с крышкой, съемная ручка</t>
  </si>
  <si>
    <t>HUR-A-111 DВВ</t>
  </si>
  <si>
    <t>Сковорода глубокая 28см ГРАНИТ съемная ручка (браун-браун) без крышки</t>
  </si>
  <si>
    <t>120763</t>
  </si>
  <si>
    <t>Сковорода глубокая 28см ГРАНИТ GOLD антипригарное покрытие,,ручка в цвет</t>
  </si>
  <si>
    <t>120773</t>
  </si>
  <si>
    <t>Сковорода глубокая 28см ГРАНИТ GOLD антипригарное покрытие,съемная ручка,ручка в цвет</t>
  </si>
  <si>
    <t>СЛ280</t>
  </si>
  <si>
    <t>Сковорода глубокая 28см КЛАССИК с антипригарное покрытие</t>
  </si>
  <si>
    <t>СЛ280-СР</t>
  </si>
  <si>
    <t>Сковорода глубокая 28см КЛАССИК с антипригарное покрытие,съемная ручка</t>
  </si>
  <si>
    <t>HUR-A-111 MВ</t>
  </si>
  <si>
    <t>Сковорода глубокая 28см МРАМОР антипригарное покрытие, без крышки</t>
  </si>
  <si>
    <t>HUR-A-111 DMВ</t>
  </si>
  <si>
    <t>Сковорода глубокая 28см МРАМОР антипригарное покрытие,съемная руч.без кр.10)</t>
  </si>
  <si>
    <t>SKU-22</t>
  </si>
  <si>
    <t>Сковорода глубокая DARIIS КуХмистер 22см с крышкой</t>
  </si>
  <si>
    <t>SKU-24</t>
  </si>
  <si>
    <t>Сковорода глубокая DARIIS КуХмистер 24см с крышкой</t>
  </si>
  <si>
    <t>SKU-24-HH</t>
  </si>
  <si>
    <t>Сковорода глубокая DARIIS КуХмистер 24см съемная ручка с крышкой</t>
  </si>
  <si>
    <t>SKU-26</t>
  </si>
  <si>
    <t>Сковорода глубокая DARIIS КуХмистер 26см с крышкой</t>
  </si>
  <si>
    <t>SKU-26-HH</t>
  </si>
  <si>
    <t>Сковорода глубокая DARIIS КуХмистер 26см съемная ручка с крышкой</t>
  </si>
  <si>
    <t>SKU-28</t>
  </si>
  <si>
    <t>Сковорода глубокая DARIIS КуХмистер 28см с крышкой</t>
  </si>
  <si>
    <t>SKU-28-HH</t>
  </si>
  <si>
    <t>Сковорода глубокая DARIIS КуХмистер 28см съемная ручка с крышкой</t>
  </si>
  <si>
    <t>ELZ-24-ср-d</t>
  </si>
  <si>
    <t>Сковорода DARIIS ГРАНИТ ИНДУКЦИЯ глубокая 24 см коричневая,без крышки,съем.ручка</t>
  </si>
  <si>
    <t>ELZ-24-d</t>
  </si>
  <si>
    <t>Сковорода DARIIS ГРАНИТ ИНДУКЦИЯ глубокая 24 см коричневая.,без крышки,н/ручка</t>
  </si>
  <si>
    <t>ELZ-26-ср-d</t>
  </si>
  <si>
    <t>Сковорода DARIIS ГРАНИТ ИНДУКЦИЯ глубокая 26 см коричн,без крышки,съем. ручка</t>
  </si>
  <si>
    <t>ELZ-26-d</t>
  </si>
  <si>
    <t>Сковорода DARIIS ГРАНИТ ИНДУКЦИЯ глубокая 26 см коричневая,без крышки,н/ручка</t>
  </si>
  <si>
    <t>ELZ-28-ср-d</t>
  </si>
  <si>
    <t>Сковорода DARIIS ГРАНИТ ИНДУКЦИЯ глубокая 28 см коричн.,без крышки,съем. ручка</t>
  </si>
  <si>
    <t>ELZ-28-d</t>
  </si>
  <si>
    <t>Сковорода DARIIS ГРАНИТ ИНДУКЦИЯ глубокая 28 см коричневая,без крышки,н/ручка</t>
  </si>
  <si>
    <t>ELZ-24</t>
  </si>
  <si>
    <t>Сковорода DARIIS МЕЧТА ИНДУКЦИЯ ,глубокая, 24 см, литой алюминий, индукция</t>
  </si>
  <si>
    <t>ELZ-26</t>
  </si>
  <si>
    <t>Сковорода DARIIS МЕЧТА ИНДУКЦИЯ ,глубокая, 26 см, литой алюминий, индукция,н/ручка</t>
  </si>
  <si>
    <t>ELZ-28</t>
  </si>
  <si>
    <t>Сковорода DARIIS МЕЧТА ИНДУКЦИЯ ,глубокая, 28 см, литой алюминий, индукция</t>
  </si>
  <si>
    <t>ОР0030122</t>
  </si>
  <si>
    <t>Сковорода Diamond универсальная индукция литая в подарочном мешке,22 см,метал.клеп.ручка ОР0030122</t>
  </si>
  <si>
    <t>ОР0030124</t>
  </si>
  <si>
    <t>Сковорода Diamond универсальная индукция литая в подарочном мешке,24 см,метал.клеп.ручка ОР0030124</t>
  </si>
  <si>
    <t>ОР0030126</t>
  </si>
  <si>
    <t>Сковорода Diamond универсальная индукция литая в подарочном мешке,26 см,метал.клеп.ручка ОР0030126</t>
  </si>
  <si>
    <t>ОР0030128</t>
  </si>
  <si>
    <t>Сковорода Diamond универсальная индукция литая в подарочном мешке,28 см,метал.клеп.ручка ОР0030128</t>
  </si>
  <si>
    <t>БВК-28ВВ</t>
  </si>
  <si>
    <t>Сковорода-ВОК 28см ГРАНИТ (браун-браун) без крышки</t>
  </si>
  <si>
    <t>БВК-28МВ</t>
  </si>
  <si>
    <t>Сковорода-ВОК 28см МРАМОР антипригарное покрытие, без крышки</t>
  </si>
  <si>
    <t>39480</t>
  </si>
  <si>
    <t>Турка DARIIS 100 мл ИЗ нержавеющая стальАВЕЮЩЕЙ СТАЛИ</t>
  </si>
  <si>
    <t>39486</t>
  </si>
  <si>
    <t>Турка DARIIS 1000 мл ИЗ нержавеющая стальАВЕЮЩЕЙ СТАЛИ</t>
  </si>
  <si>
    <t>39482</t>
  </si>
  <si>
    <t>Турка DARIIS 300 мл ИЗ нержавеющая стальАВЕЮЩЕЙ СТАЛИ</t>
  </si>
  <si>
    <t>39483</t>
  </si>
  <si>
    <t>Турка DARIIS 400 мл ИЗ нержавеющая стальАВЕЮЩЕЙ СТАЛИ</t>
  </si>
  <si>
    <t>39484</t>
  </si>
  <si>
    <t>Турка DARIIS 500 мл ИЗ нержавеющая стальАВЕЮЩЕЙ СТАЛИ</t>
  </si>
  <si>
    <t>39485</t>
  </si>
  <si>
    <t>Турка DARIIS 700 мл ИЗ нержавеющая стальАВЕЮЩЕЙ СТАЛИ</t>
  </si>
  <si>
    <t>45214</t>
  </si>
  <si>
    <t>ФОРМА ДЛЯ ЗАПЕКАНИЯ КРУГЛАЯ DARIIS D 320 MM &amp; H 50 MM ГЛАДКАЯ</t>
  </si>
  <si>
    <t>45314</t>
  </si>
  <si>
    <t>ФОРМА ДЛЯ ЗАПЕКАНИЯ КРУГЛАЯ DARIIS D 320 MM &amp; H 50 MM СОТЫ</t>
  </si>
  <si>
    <t>45084</t>
  </si>
  <si>
    <t>ФОРМА ДЛЯ ЗАПЕКАНИЯ ОВАЛЬНАЯ DARIIS D 260 MM Х 180ММ &amp; H 60 MM ГЛАДКАЯ</t>
  </si>
  <si>
    <t>45584</t>
  </si>
  <si>
    <t>ФОРМА ДЛЯ ЗАПЕКАНИЯ ОВАЛЬНАЯ DARIIS D 260 MM Х 180ММ &amp; H 60 MM СОТЫ</t>
  </si>
  <si>
    <t>45074</t>
  </si>
  <si>
    <t>ФОРМА ДЛЯ ЗАПЕКАНИЯ ОВАЛЬНАЯ DARIIS D 350 MM Х 250ММ &amp; H 65 MM ГЛАДКАЯ</t>
  </si>
  <si>
    <t>45474</t>
  </si>
  <si>
    <t>ФОРМА ДЛЯ ЗАПЕКАНИЯ ОВАЛЬНАЯ DARIIS D 350 MM Х 250ММ &amp; H 65 MM ПЛИССЕ</t>
  </si>
  <si>
    <t>45574</t>
  </si>
  <si>
    <t>ФОРМА ДЛЯ ЗАПЕКАНИЯ ОВАЛЬНАЯ DARIIS D 350 MM Х 250ММ &amp; H 65 MM СОТЫ</t>
  </si>
  <si>
    <t>45024МАП</t>
  </si>
  <si>
    <t>ФОРМА МЕЧТА СТЕКЛЯННАЯ с антипригарным покрытием КВАДРАТНАЯ DARIIS 320 X 283 X 60 (mm) ГЛАДКАЯ</t>
  </si>
  <si>
    <t>45244МАП</t>
  </si>
  <si>
    <t>ФОРМА МЕЧТА СТЕКЛЯННАЯ с антипригарным покрытием КРУГЛАЯ DARIIS D 260 MM &amp; H 45 MM ГЛАДКАЯ</t>
  </si>
  <si>
    <t>45214МАП</t>
  </si>
  <si>
    <t>ФОРМА МЕЧТА СТЕКЛЯННАЯ с антипригарным покрытием КРУГЛАЯ DARIIS D 320 MM &amp; H 50 MM ГЛАДКАЯ</t>
  </si>
  <si>
    <t>45084МАП</t>
  </si>
  <si>
    <t>ФОРМА МЕЧТА СТЕКЛЯННАЯ с антипригарным покрытием ОВАЛЬНАЯ DARIIS D 260х180х60 MM ГЛАДКАЯ</t>
  </si>
  <si>
    <t>45074МАП</t>
  </si>
  <si>
    <t>ФОРМА МЕЧТА СТЕКЛЯННАЯ с антипригарным покрытием ОВАЛЬНАЯ DARIIS D 350х250х65 MM ГЛАДКАЯ</t>
  </si>
  <si>
    <t>1-700</t>
  </si>
  <si>
    <t>Хлебная форма Л-7 одинарн. 220*110*115 0,700кг.ТМ DARIIS 1-700</t>
  </si>
  <si>
    <t>DUO-108 НН</t>
  </si>
  <si>
    <t>DUO-108 НН Сковорода 22 см,DARIIS DUO ГРАНИТ,со съемной руч.литой алюминий,антипригарное покрытиекорич.с точ</t>
  </si>
  <si>
    <t>DUO-108</t>
  </si>
  <si>
    <t>DUO-108 Сковорода 22 см,DARIIS DUO ГРАНИТ,нержавеющая сталь,литой алюминий,антипригарное покрытиекорич.с точкой</t>
  </si>
  <si>
    <t>DUO-109 НН</t>
  </si>
  <si>
    <t>DUO-109 НН Сковорода 24 см,DARIIS DUO ГРАНИТ,со съемной руч.литой алюминий,антипригарное покрытиекорич.с точ</t>
  </si>
  <si>
    <t>DUO-109</t>
  </si>
  <si>
    <t>DUO-109 Сковорода 24 см,DARIIS DUO ГРАНИТ,литой алюминий,антипригарное покрытиекорич.с точкой</t>
  </si>
  <si>
    <t>DUO-110</t>
  </si>
  <si>
    <t>DUO-110 Сковорода 26 см,DARIIS DUO ГРАНИТ,литой алюминий,антипригарное покрытиекорич.с точкой</t>
  </si>
  <si>
    <t>DUO-111</t>
  </si>
  <si>
    <t>DUO-111 Сковорода 28 см,DARIIS DUO ГРАНИТ,нержавеющая сталь,литой алюминий,антипригарное покрытиекорич.с точкой</t>
  </si>
  <si>
    <t>DUO-22</t>
  </si>
  <si>
    <t>DUO-22 Сковорода блинная 22 см,DARIIS DUO ГРАНИТ,литой алюминий,антипригарное покрытиекорич.с точкой</t>
  </si>
  <si>
    <t>ELZ-16</t>
  </si>
  <si>
    <t>ELZ-16 Ковш 16 см / 1,2л индукция ручка с софтач (тяжелая)</t>
  </si>
  <si>
    <t>ELZ-16-СР</t>
  </si>
  <si>
    <t>ELZ-16-СР Ковш 16 см / 1,2л индукция съемная ручка с софтач (тяжелая)</t>
  </si>
  <si>
    <t>ELZ-18</t>
  </si>
  <si>
    <t>ELZ-18 Ковш 18 см / 1,5л индукция ручка с софтач (тяжелая)</t>
  </si>
  <si>
    <t>ELZ-18-СР</t>
  </si>
  <si>
    <t>ELZ-18-СР Ковш 18 см / 1,5л индукция съемная ручка с софтач (тяжелая)</t>
  </si>
  <si>
    <t>ELZ-2-К</t>
  </si>
  <si>
    <t>ELZ-2-К Кастрюля 20 см / 2л индукция (тяжелая)</t>
  </si>
  <si>
    <t>ELZ-20</t>
  </si>
  <si>
    <t>ELZ-20 Сковорода глубокая 20см индукция, ручка черн. с софтач (тяжелая) (Ф-2)</t>
  </si>
  <si>
    <t>ELZ-20-СР</t>
  </si>
  <si>
    <t>ELZ-20-СР Сковорода глубокая 20см индукция, съемная ручка черн. с софтач (тяжелая) (Ф-2)</t>
  </si>
  <si>
    <t>ELZ-22</t>
  </si>
  <si>
    <t>ELZ-22 Сковорода глубокая 22см индукция, ручка черн. с софтач (тяжелая) (Ф-2)</t>
  </si>
  <si>
    <t>ELZ-22-Б</t>
  </si>
  <si>
    <t>ELZ-22-Б Сковорода для блинов 22см индукция, ручка черн с софтач (тяжелая)</t>
  </si>
  <si>
    <t>ELZ-22-СР</t>
  </si>
  <si>
    <t>ELZ-22-СР Сковорода глубокая 22см индукция, съемная ручка черн. с софтач (тяжелая) (Ф-2)</t>
  </si>
  <si>
    <t>ELZ-24 Сковорода глубокая 24см индукция, ручка черн. с софтач (тяжелая) (Ф-2)</t>
  </si>
  <si>
    <t>ELZ-24-СР</t>
  </si>
  <si>
    <t>ELZ-24-СР Сковорода глубокая 24см индукция, съемная ручка черн. с софтач (тяжелая) (Ф-2)</t>
  </si>
  <si>
    <t>ELZ-26 Сковорода глубокая 26см индукция, ручка черн. с софтач (тяжелая) (Ф-2)</t>
  </si>
  <si>
    <t>ELZ-26-Б</t>
  </si>
  <si>
    <t>ELZ-26-Б Сковорода для блинов 26см индукция, ручка черн с софтач (тяжелая)</t>
  </si>
  <si>
    <t>ELZ-26-СР</t>
  </si>
  <si>
    <t>ELZ-26-СР Сковорода глубокая 26см индукция, съемная ручка черн. с софтач (тяжелая) (Ф-2)</t>
  </si>
  <si>
    <t>ELZ-28 Сковорода глубокая 28см индукция, ручка черн. с софтач (тяжелая) (Ф-2)</t>
  </si>
  <si>
    <t>ELZ-28-СР</t>
  </si>
  <si>
    <t>ELZ-28-СР Сковорода глубокая 28см индукция, съемная ручка черн. с софтач (тяжелая) (Ф-2)</t>
  </si>
  <si>
    <t>ELZ-3-К</t>
  </si>
  <si>
    <t>ELZ-3-К Кастрюля 22 см / 3л индукция (тяжелая)</t>
  </si>
  <si>
    <t>ELZ-4-К</t>
  </si>
  <si>
    <t>ELZ-4-К Кастрюля 26 см / 4л индукция (тяжелая)</t>
  </si>
  <si>
    <t>ELZ-5-К</t>
  </si>
  <si>
    <t>ELZ-5-К Кастрюля 26 см / 5л индукция (тяжелая)</t>
  </si>
  <si>
    <t>55563</t>
  </si>
  <si>
    <t>Декантер ЛОНДОН 1850 мл</t>
  </si>
  <si>
    <t>АХ811-1000</t>
  </si>
  <si>
    <t>Заварочный чайник 1000мл из стекла</t>
  </si>
  <si>
    <t>АХ811-1500</t>
  </si>
  <si>
    <t>Заварочный чайник 1500мл из стекла</t>
  </si>
  <si>
    <t>AX811-600</t>
  </si>
  <si>
    <t>Заварочный чайник 600мл из стекла</t>
  </si>
  <si>
    <t>KRJYD452-K24412_4</t>
  </si>
  <si>
    <t>Кружка "AMERICANO" 370 мл зеленая</t>
  </si>
  <si>
    <t>KRJYD1288-K24412_4</t>
  </si>
  <si>
    <t>Кружка "AMERICANO" 400 мл зеленая</t>
  </si>
  <si>
    <t>KRJYD1087-K24412_4</t>
  </si>
  <si>
    <t>Кружка "AMERICANO" 500 мл зеленая</t>
  </si>
  <si>
    <t>KRJYD452-K24412_2</t>
  </si>
  <si>
    <t>Кружка "CAPPUCCINO" 370 мл коричневая</t>
  </si>
  <si>
    <t>KRJYD1288-K24412_2</t>
  </si>
  <si>
    <t>Кружка "CAPPUCCINO" 400 мл коричневая</t>
  </si>
  <si>
    <t>KRJYD1087-K24412_2</t>
  </si>
  <si>
    <t>Кружка "CAPPUCCINO" 500 мл коричневая</t>
  </si>
  <si>
    <t>KRJYD452-K24412_1</t>
  </si>
  <si>
    <t>Кружка "LATTE" 370 мл бежевая</t>
  </si>
  <si>
    <t>KRJYD1288-K24412_1</t>
  </si>
  <si>
    <t>Кружка "LATTE" 400 мл бежевая</t>
  </si>
  <si>
    <t>KRJYD1087-K24412_1</t>
  </si>
  <si>
    <t>Кружка "LATTE" 500 мл бежевая</t>
  </si>
  <si>
    <t>KRJYD709-K24411_1</t>
  </si>
  <si>
    <t>Кружка "OOLONG TEA" 540 мл бежевая</t>
  </si>
  <si>
    <t>KRJYD452-K24412_3</t>
  </si>
  <si>
    <t>Кружка "RAF" 370 мл синяя</t>
  </si>
  <si>
    <t>KRJYD1288-K24412_3</t>
  </si>
  <si>
    <t>Кружка "RAF" 400 мл синяя</t>
  </si>
  <si>
    <t>KRJYD1087-K24412_3</t>
  </si>
  <si>
    <t>Кружка "RAF" 500 мл синяя</t>
  </si>
  <si>
    <t>55541</t>
  </si>
  <si>
    <t>Набор бокалов для вина ЗОЛОТО 385 мл 6 шт</t>
  </si>
  <si>
    <t>55543</t>
  </si>
  <si>
    <t>Набор бокалов для вина ПЫЛЬНАЯ РОЗА 450 мл 6 шт</t>
  </si>
  <si>
    <t>55544</t>
  </si>
  <si>
    <t>Набор бокалов для вина ПЫЛЬНАЯ РОЗА 580 мл 6 шт</t>
  </si>
  <si>
    <t>55542</t>
  </si>
  <si>
    <t>Набор бокалов для шампанского ЗОЛОТО 235 мл 6 шт</t>
  </si>
  <si>
    <t>55545</t>
  </si>
  <si>
    <t>Набор бокалов для шампанского ПЫЛЬНАЯ РОЗА 185 мл 6 шт</t>
  </si>
  <si>
    <t>55547</t>
  </si>
  <si>
    <t>Набор из 2-х бокалов для вина ЛОНДОН 455 мл</t>
  </si>
  <si>
    <t>55546</t>
  </si>
  <si>
    <t>Набор из 2-х бокалов для вина ЛОНДОН 735 мл</t>
  </si>
  <si>
    <t>J1365</t>
  </si>
  <si>
    <t>Ситечко для чая</t>
  </si>
  <si>
    <t>XH0008-1 З</t>
  </si>
  <si>
    <t>Термосалфетки 45*30 (100шт в кор) XH0008-1 З</t>
  </si>
  <si>
    <t>XH0008-1 О</t>
  </si>
  <si>
    <t>Термосалфетки 45*30 (100шт в кор) XH0008-1 О</t>
  </si>
  <si>
    <t>XH0008-5 С</t>
  </si>
  <si>
    <t>Термосалфетки 45*30 С (100шт в кор) XH0008-5 С (темно-серые)</t>
  </si>
  <si>
    <t>XH0008-2 СК</t>
  </si>
  <si>
    <t>Термосалфетки 45*30 СК (100шт в кор) XH0008-2 СК (светло-коричневые)</t>
  </si>
  <si>
    <t>XH0009-3</t>
  </si>
  <si>
    <t>Термосалфетки Д 30 (144шт в кор) (1кор) XH0009-3</t>
  </si>
  <si>
    <t>В420С-350</t>
  </si>
  <si>
    <t>Френч пресс 350 мл из стекла, нержавеющая сталь стали,бронзового цвета</t>
  </si>
  <si>
    <t>B470-350</t>
  </si>
  <si>
    <t>Френч пресс 350мл из нержавеющая сталь стали и стекла</t>
  </si>
  <si>
    <t>B470-600</t>
  </si>
  <si>
    <t>Френч пресс 600мл из нержавеющая сталь стали и стекла</t>
  </si>
  <si>
    <t>В470-800</t>
  </si>
  <si>
    <t>Френч пресс 800мл из стекла и нержавеющая сталь стали</t>
  </si>
  <si>
    <t>KRJYD1104-K24412_2</t>
  </si>
  <si>
    <t>Чайная пара "CAPPUCCINO" 320 мл коричневая</t>
  </si>
  <si>
    <t>KRJYD1104-K24412_1</t>
  </si>
  <si>
    <t>Чайная пара "LATTE" 320 мл бежевая</t>
  </si>
  <si>
    <t>KRSCA040-M_1</t>
  </si>
  <si>
    <t>Чайник заварочный 1000 мл бежевый</t>
  </si>
  <si>
    <t>KRSCA040-M_4</t>
  </si>
  <si>
    <t>Чайник заварочный 1000 мл зеленый</t>
  </si>
  <si>
    <t>KRSCA040-M_2</t>
  </si>
  <si>
    <t>Чайник заварочный 1000 мл коричневый</t>
  </si>
  <si>
    <t>KRSCA040-M_3</t>
  </si>
  <si>
    <t>Чайник заварочный 1000 мл синий</t>
  </si>
  <si>
    <t>KRJYD286-8206_3</t>
  </si>
  <si>
    <t>Чашка "AMERICANO" 340 мл синяя</t>
  </si>
  <si>
    <t>KRJYD709-K24411_2</t>
  </si>
  <si>
    <t>Чашка "BLACK TEA" 540 мл коричневая</t>
  </si>
  <si>
    <t>KRJYD286-8206_2</t>
  </si>
  <si>
    <t>Чашка "COFFEE" 340 мл коричневая</t>
  </si>
  <si>
    <t>KRJYD1104-K24411_4</t>
  </si>
  <si>
    <t>Чашка "GREEN TEA" 320 мл зеленая</t>
  </si>
  <si>
    <t>KRJYD709-K24411_4</t>
  </si>
  <si>
    <t>Чашка "GREEN TEA" 540 мл зеленая</t>
  </si>
  <si>
    <t>KRJYD286-8206_4</t>
  </si>
  <si>
    <t>Чашка "MOCHA" 340 мл зеленая</t>
  </si>
  <si>
    <t>KRJYD1104-K24411_1</t>
  </si>
  <si>
    <t>Чашка "OOLONG TEA" 320 мл бежевая</t>
  </si>
  <si>
    <t>KRJYD1104-K24411_3</t>
  </si>
  <si>
    <t>Чашка "PU-ERH TEA" 320 мл синяя</t>
  </si>
  <si>
    <t>KRJYD709-K24411_3</t>
  </si>
  <si>
    <t>Чашка "PU-ERH TEA" 540 мл синяя</t>
  </si>
  <si>
    <t>KRJYD286-8206_1</t>
  </si>
  <si>
    <t>Чашка "VANILLA" 340 мл бежевая</t>
  </si>
  <si>
    <t>ФИГУРКИ и ВАЗЫ ИНТЕРЬЕРНЫЕ</t>
  </si>
  <si>
    <t>EFT337</t>
  </si>
  <si>
    <t>ВАЗА ДЕКОРАТИВНАЯ "АНТИЧНАЯ РОЗА"</t>
  </si>
  <si>
    <t>EFT334</t>
  </si>
  <si>
    <t>EFT504</t>
  </si>
  <si>
    <t>ВАЗА ДЕКОРАТИВНАЯ "АРИЭЛЬ"</t>
  </si>
  <si>
    <t>EFT505</t>
  </si>
  <si>
    <t>ВАЗА ДЕКОРАТИВНАЯ "АФРИКА"</t>
  </si>
  <si>
    <t>EFT120/1</t>
  </si>
  <si>
    <t>ВАЗА ДЕКОРАТИВНАЯ "ВОЛШЕБНЫЙ СОСУД-1"</t>
  </si>
  <si>
    <t>EFT120/2</t>
  </si>
  <si>
    <t>ВАЗА ДЕКОРАТИВНАЯ "ВОЛШЕБНЫЙ СОСУД-2"</t>
  </si>
  <si>
    <t>EFT120/3</t>
  </si>
  <si>
    <t>ВАЗА ДЕКОРАТИВНАЯ "ВОЛШЕБНЫЙ СОСУД-3"</t>
  </si>
  <si>
    <t>EFT500</t>
  </si>
  <si>
    <t>ВАЗА ДЕКОРАТИВНАЯ "ДЕВОЧКА НА СЛОНЕ"</t>
  </si>
  <si>
    <t>EFT508</t>
  </si>
  <si>
    <t>ВАЗА ДЕКОРАТИВНАЯ "МАТРИЦА"</t>
  </si>
  <si>
    <t>EFT507</t>
  </si>
  <si>
    <t>ВАЗА ДЕКОРАТИВНАЯ "МОДЕРН"</t>
  </si>
  <si>
    <t>EFT510</t>
  </si>
  <si>
    <t>ВАЗА ДЕКОРАТИВНАЯ "НАТЮРЕЛЬ"</t>
  </si>
  <si>
    <t>EFT343</t>
  </si>
  <si>
    <t>ВАЗА ДЕКОРАТИВНАЯ "НИМФА"</t>
  </si>
  <si>
    <t>EFT506</t>
  </si>
  <si>
    <t>ВАЗА ДЕКОРАТИВНАЯ "ПЕРО ПАВЛИНА"</t>
  </si>
  <si>
    <t>EFT511</t>
  </si>
  <si>
    <t>ВАЗА ДЕКОРАТИВНАЯ "ЦВЕТОЧНАЯ СИМФОНИЯ"</t>
  </si>
  <si>
    <t>55527</t>
  </si>
  <si>
    <t>Ваза для фруктов ГРАЦИЯ 38 см</t>
  </si>
  <si>
    <t>55562</t>
  </si>
  <si>
    <t>Ваза для цветов КЛАССИК 24 см</t>
  </si>
  <si>
    <t>55561</t>
  </si>
  <si>
    <t>Ваза для цветов ОЖЕРЕЛЬЕ 20 см () арт.55561</t>
  </si>
  <si>
    <t>55550</t>
  </si>
  <si>
    <t>Ваза для цветов ПРЕЗЕНТ 29 см</t>
  </si>
  <si>
    <t>55554</t>
  </si>
  <si>
    <t>Ваза для цветов РАПСОДИЯ 26 см () арт.55554</t>
  </si>
  <si>
    <t>55556</t>
  </si>
  <si>
    <t>Ваза для цветов СИЯНИЕ круглая 20 см () арт.55556</t>
  </si>
  <si>
    <t>55553</t>
  </si>
  <si>
    <t>Ваза для цветов СКАЛА 28 см</t>
  </si>
  <si>
    <t>55558</t>
  </si>
  <si>
    <t>Ваза для цветов ТРЕНД ГРАНИ 20 см () арт.55558</t>
  </si>
  <si>
    <t>55560</t>
  </si>
  <si>
    <t>Ваза для цветов ТРЕНД МОДЕРН 19 см () арт.55560</t>
  </si>
  <si>
    <t>55559</t>
  </si>
  <si>
    <t>Ваза для цветов ТРЕНД РЕЛЬЕФ 22 см () арт.55559</t>
  </si>
  <si>
    <t>55557</t>
  </si>
  <si>
    <t>Ваза для цветов ТРЕНД СОТЫ 25 см () арт.55557</t>
  </si>
  <si>
    <t>55555</t>
  </si>
  <si>
    <t>Ваза для цветов ЯНТАРНАЯ 25 см () арт.55555</t>
  </si>
  <si>
    <t>55551</t>
  </si>
  <si>
    <t>Ваза для цветов BLACK&amp;GOLD 7x11x20,5 см</t>
  </si>
  <si>
    <t>55552</t>
  </si>
  <si>
    <t>Ваза для цветов BLACK&amp;GOLD 8,5x14x17 см</t>
  </si>
  <si>
    <t>55530</t>
  </si>
  <si>
    <t>Ваза овальная ИЗОБИЛИЕ 23 см () арт.55530</t>
  </si>
  <si>
    <t>55529</t>
  </si>
  <si>
    <t>Ваза овальная ИЗОБИЛИЕ 28 см () арт.55529</t>
  </si>
  <si>
    <t>55528</t>
  </si>
  <si>
    <t>Ваза овальная ИЗОБИЛИЕ 34 см () арт.55528</t>
  </si>
  <si>
    <t>EFT183</t>
  </si>
  <si>
    <t>ФИГУРКА ДЕКОРАТИВНАЯ "АТЛАНТ"</t>
  </si>
  <si>
    <t>ФИГУРКА ДЕКОРАТИВНАЯ "ВОСТОК"</t>
  </si>
  <si>
    <t>EFT318/1</t>
  </si>
  <si>
    <t>ФИГУРКА ДЕКОРАТИВНАЯ "ДАРЫ МОРЯ-1"</t>
  </si>
  <si>
    <t>EFT318/2</t>
  </si>
  <si>
    <t>ФИГУРКА ДЕКОРАТИВНАЯ "ДАРЫ МОРЯ-2"</t>
  </si>
  <si>
    <t>EFT318/3</t>
  </si>
  <si>
    <t>ФИГУРКА ДЕКОРАТИВНАЯ "ДАРЫ МОРЯ-3"</t>
  </si>
  <si>
    <t>EFT15</t>
  </si>
  <si>
    <t>ФИГУРКА ДЕКОРАТИВНАЯ "ЗОЛОТОЙ РОГ"</t>
  </si>
  <si>
    <t>EFT182/1</t>
  </si>
  <si>
    <t>ФИГУРКА ДЕКОРАТИВНАЯ "КОРАЛЛ-1"</t>
  </si>
  <si>
    <t>EFT182/2</t>
  </si>
  <si>
    <t>ФИГУРКА ДЕКОРАТИВНАЯ "КОРАЛЛ-2"</t>
  </si>
  <si>
    <t>EFT148/1</t>
  </si>
  <si>
    <t>ФИГУРКА ДЕКОРАТИВНАЯ "ЛИСТ-1"</t>
  </si>
  <si>
    <t>EFT148/2</t>
  </si>
  <si>
    <t>ФИГУРКА ДЕКОРАТИВНАЯ "ЛИСТ-2"</t>
  </si>
  <si>
    <t>EFT503</t>
  </si>
  <si>
    <t>ФИГУРКА ДЕКОРАТИВНАЯ "МОРСКАЯ РАКОВИНА"</t>
  </si>
  <si>
    <t>ФИГУРКА ДЕКОРАТИВНАЯ "ПРЕСС ПАПЬЕ ПЕРО-1"</t>
  </si>
  <si>
    <t>ФИГУРКА ДЕКОРАТИВНАЯ "ПРЕСС ПАПЬЕ ПЕРО-2"</t>
  </si>
  <si>
    <t>EFT148/3</t>
  </si>
  <si>
    <t>ФИГУРКА ДЕКОРАТИВНАЯ "ПРЕСС ПАПЬЕ ПЕРО-3"</t>
  </si>
  <si>
    <t>ФИГУРКА ДЕКОРАТИВНАЯ "РИФ"</t>
  </si>
  <si>
    <t>EFT501</t>
  </si>
  <si>
    <t>ФИГУРКА ДЕКОРАТИВНАЯ "РУСАЛКА"</t>
  </si>
  <si>
    <t>EFT94</t>
  </si>
  <si>
    <t>ФИГУРКА ДЕКОРАТИВНАЯ "ТРИ ОБЕЗЬЯНЫ"</t>
  </si>
  <si>
    <t>EFT310/1</t>
  </si>
  <si>
    <t>ФИГУРКА ДЕКОРАТИВНАЯ "ТЫКВЫ-1"</t>
  </si>
  <si>
    <t>EFT310/2</t>
  </si>
  <si>
    <t>ФИГУРКА ДЕКОРАТИВНАЯ "ТЫКВЫ-2"</t>
  </si>
  <si>
    <t>EFT310/3</t>
  </si>
  <si>
    <t>ФИГУРКА ДЕКОРАТИВНАЯ "ТЫКВЫ-3"</t>
  </si>
  <si>
    <t>EFT338</t>
  </si>
  <si>
    <t>ФИГУРКА ДЕКОРАТИВНАЯ "ЧТЕЦ"</t>
  </si>
  <si>
    <t>EFT49</t>
  </si>
  <si>
    <t>ФИГУРКА ДЕКОРАТИВНАЯ "ЭМОЦИЯ"</t>
  </si>
  <si>
    <t>EFT502</t>
  </si>
  <si>
    <t>ФИГУРКА ДЕКОРАТИВНАЯ ПРЕСС ПАПЬЕ "КНИГОЛЮБ"</t>
  </si>
  <si>
    <t>KERAMIKA</t>
  </si>
  <si>
    <t>A19024-26/17</t>
  </si>
  <si>
    <t>БЛЮДО 26Х17 СМ. "АКВАРЕЛЬ"</t>
  </si>
  <si>
    <t>Р19015-33/17</t>
  </si>
  <si>
    <t>БЛЮДО 33Х17 СМ. "РАПСОДИЯ"</t>
  </si>
  <si>
    <t>A19024-11</t>
  </si>
  <si>
    <t>КРУЖКА 10 СМ. 370 МЛ "АКВАРЕЛЬ"</t>
  </si>
  <si>
    <t>GR19154-10</t>
  </si>
  <si>
    <t>КРУЖКА 9 СМ. 260 МЛ "ГРАНАТЫ"</t>
  </si>
  <si>
    <t>Р19015-10</t>
  </si>
  <si>
    <t>КРУЖКА 9 СМ. 260 МЛ "РАПСОДИЯ"</t>
  </si>
  <si>
    <t>Р19015-21</t>
  </si>
  <si>
    <t>ТАРЕЛКА 20 СМ. "РАПСОДИЯ"</t>
  </si>
  <si>
    <t>A19024-26</t>
  </si>
  <si>
    <t>ТАРЕЛКА 26 СМ. "АКВАРЕЛЬ"</t>
  </si>
  <si>
    <t>G19014-26</t>
  </si>
  <si>
    <t>ТАРЕЛКА 26 СМ. "ГОНЧАР"</t>
  </si>
  <si>
    <t>Р19015-26</t>
  </si>
  <si>
    <t>ТАРЕЛКА 26 СМ. "РАПСОДИЯ"</t>
  </si>
  <si>
    <t>Р19015-20</t>
  </si>
  <si>
    <t>ТАРЕЛКА ГЛУБОКАЯ 20 СМ (САЛАТНИК). "РАПСОДИЯ"</t>
  </si>
  <si>
    <t>A19024-22</t>
  </si>
  <si>
    <t>ТАРЕЛКА ГЛУБОКАЯ 20 СМ. "АКВАРЕЛЬ"</t>
  </si>
  <si>
    <t>GR19154-22</t>
  </si>
  <si>
    <t>ТАРЕЛКА ГЛУБОКАЯ 22 СМ. "ГРАНАТЫ"</t>
  </si>
  <si>
    <t>A19024-15</t>
  </si>
  <si>
    <t>ЧАША 15 СМ. "АКВАРЕЛЬ"</t>
  </si>
  <si>
    <t>G19014-23</t>
  </si>
  <si>
    <t>ЧАША 23 СМ. "ГОНЧАР"</t>
  </si>
  <si>
    <t>KUKMARA</t>
  </si>
  <si>
    <t>КП40</t>
  </si>
  <si>
    <t>Казан походный 4л Алюминий (с крышкой сковородой) КП40</t>
  </si>
  <si>
    <t>КП50</t>
  </si>
  <si>
    <t>Казан походный 5л Алюминий (с крышкой сковородой)КП50</t>
  </si>
  <si>
    <t>КП61</t>
  </si>
  <si>
    <t>Казан походный 6л Алюминий (с крышкой) КП61</t>
  </si>
  <si>
    <t>КП100</t>
  </si>
  <si>
    <t>Котел походный 10л -Алюминий с крышкой,универсальный КП100</t>
  </si>
  <si>
    <t>КП120</t>
  </si>
  <si>
    <t>Котел походный 12л -Алюминий КП120</t>
  </si>
  <si>
    <t>К152</t>
  </si>
  <si>
    <t>Котел походный 15л Алюминий - К152 (2шт)</t>
  </si>
  <si>
    <t>КП200</t>
  </si>
  <si>
    <t>Котел походный 20л Алюминий КП200</t>
  </si>
  <si>
    <t>КП300</t>
  </si>
  <si>
    <t>Котел походный 30л Алюминий литой КП300</t>
  </si>
  <si>
    <t>КП30</t>
  </si>
  <si>
    <t>Котел походный 3л Алюминий с крышкой КП30</t>
  </si>
  <si>
    <t>КП45</t>
  </si>
  <si>
    <t>Котел походный 4,5л Алюминий с крышкой КП45</t>
  </si>
  <si>
    <t>КП70</t>
  </si>
  <si>
    <t>Котел походный 7л Алюминий с крышкой КП70</t>
  </si>
  <si>
    <t>КП80</t>
  </si>
  <si>
    <t>Котел походный 8л Алюминий с крышкой КП80</t>
  </si>
  <si>
    <t>КП90</t>
  </si>
  <si>
    <t>Котел походный 9л Алюминий с крышкой КП90</t>
  </si>
  <si>
    <t>М-01</t>
  </si>
  <si>
    <t>Мангал-дипломат,складной (510×340×76) Н=650 №1 м-01</t>
  </si>
  <si>
    <t>М-02</t>
  </si>
  <si>
    <t>Мангал-дипломат,складной с шампурами-6шт, (510×340×76) Н=650 №2 м-02</t>
  </si>
  <si>
    <t>Т01</t>
  </si>
  <si>
    <t>Тренога №1 для котла походного Т01 (860х160х90) Н=800 (6шт)</t>
  </si>
  <si>
    <t>Т02</t>
  </si>
  <si>
    <t>Тренога №2 для котла походного Т02 (910×100×100) Н=850 (1шт)</t>
  </si>
  <si>
    <t>Т021</t>
  </si>
  <si>
    <t>Тренога №2 с чехлом (860×100×100) Н=850 (1шт) - т021</t>
  </si>
  <si>
    <t>Т03</t>
  </si>
  <si>
    <t>Тренога №3 Т03 (1030×100×100) Н=980 (1шт)</t>
  </si>
  <si>
    <t>Т04</t>
  </si>
  <si>
    <t>Тренога №4 для котла походного №4 1030×100×100) Н=980 (1шт) - т04</t>
  </si>
  <si>
    <t>Т05</t>
  </si>
  <si>
    <t>Тренога №5 с чехлом (1шт) - т05</t>
  </si>
  <si>
    <t>Т06</t>
  </si>
  <si>
    <t>Тренога №6 для казана 15л,(диаметр452мм),480×480×200) Н=470 4) Т06</t>
  </si>
  <si>
    <t>Т07</t>
  </si>
  <si>
    <t>Тренога №7 для казана 28л,(диаметр563мм) (570×570×200) Н=470 Т07</t>
  </si>
  <si>
    <t>Т08</t>
  </si>
  <si>
    <t>Тренога №8 двухместная (910×100×100) Н=850(1шт) - т08</t>
  </si>
  <si>
    <t>Т09</t>
  </si>
  <si>
    <t>Тренога №9 для казана 110л. (диаметр845мм) (850х850х100) Н=470 Т09</t>
  </si>
  <si>
    <t>УК09</t>
  </si>
  <si>
    <t>УЧАГ для казана 7л,(t-2,0мм),360х360х340,Н=530,Д=322,съём.нож.кочерга ,колосник</t>
  </si>
  <si>
    <t>УК012</t>
  </si>
  <si>
    <t>УЧАГ №12 для казана 12л,(t-2,0мм),460х460х390,Н=570 Д=406 ,съём.нож.кочерга ,колосник</t>
  </si>
  <si>
    <t>УК03</t>
  </si>
  <si>
    <t>УЧАГ №2 для казана 9л,(t-2,0мм),390х390х370,Н=570,Д=374,съём.нож.кочерга ,колосник</t>
  </si>
  <si>
    <t>УК04</t>
  </si>
  <si>
    <t>УЧАГ №4 для казана 15л,(t-2,0мм),460х460х390,Н=580,Д-452,съём.нож.кочерга ,колосник</t>
  </si>
  <si>
    <t>9005</t>
  </si>
  <si>
    <t>9005 Кружка алюмин. 0,5 л</t>
  </si>
  <si>
    <t>Г45</t>
  </si>
  <si>
    <t>Гусятница 4,5 л Алюминий Г45 (5шт)</t>
  </si>
  <si>
    <t>Г55</t>
  </si>
  <si>
    <t>Гусятница 5,5 л Алюминий Г55 (5шт)</t>
  </si>
  <si>
    <t>К1100</t>
  </si>
  <si>
    <t>Казан 110л для плова Алюминий (без крышки) К1100</t>
  </si>
  <si>
    <t>К120</t>
  </si>
  <si>
    <t>Казан 12л для плова,Алюминий, с крышкой</t>
  </si>
  <si>
    <t>К150</t>
  </si>
  <si>
    <t>Казан 15л для плова,Алюминий, с крышкой ,465/265</t>
  </si>
  <si>
    <t>К221</t>
  </si>
  <si>
    <t>Казан 22л для плова, Алюминий с крышкой 585/195 арт К221</t>
  </si>
  <si>
    <t>К281</t>
  </si>
  <si>
    <t>Казан 28л для плова, Алюминий с крышкой</t>
  </si>
  <si>
    <t>К35</t>
  </si>
  <si>
    <t>Казан 3,5л для плова Алюминий с крышкой К35</t>
  </si>
  <si>
    <t>К45</t>
  </si>
  <si>
    <t>Казан 4,5л для плова Алюминий с крышкой К45</t>
  </si>
  <si>
    <t>К410</t>
  </si>
  <si>
    <t>Казан 40л для плова Алюминий (без крышки) К410</t>
  </si>
  <si>
    <t>К600</t>
  </si>
  <si>
    <t>Казан 60л для плова Алюминий (без крышки) К600</t>
  </si>
  <si>
    <t>Кз60</t>
  </si>
  <si>
    <t>Казан 6л для плова Алюминий с крышкой Кз60</t>
  </si>
  <si>
    <t>К70</t>
  </si>
  <si>
    <t>Казан 7л для плова Алюминий с крышкой К70</t>
  </si>
  <si>
    <t>К800</t>
  </si>
  <si>
    <t>Казан 80л для плова Алюминий (без крышки) К800</t>
  </si>
  <si>
    <t>К85</t>
  </si>
  <si>
    <t>Казан 8л для плова Алюминий с крышкой К85</t>
  </si>
  <si>
    <t>К90</t>
  </si>
  <si>
    <t>Казан 9л для плова Алюминий с крышкой, 380/230 К90</t>
  </si>
  <si>
    <t>К37м</t>
  </si>
  <si>
    <t>Казан для плова 3,5л АП "Модерн"со стеклянная крышкаой (антипригарное покрытиер,внеш.красный) К37м</t>
  </si>
  <si>
    <t>К35а</t>
  </si>
  <si>
    <t>Казан для плова 3,5л АП(антиприг.покр.) К35а</t>
  </si>
  <si>
    <t>кмк37а</t>
  </si>
  <si>
    <t>Казан для плова 3,5л со стеклянной крышкой, АП (кофейный мрамор) кмк37а</t>
  </si>
  <si>
    <t>кмт37а</t>
  </si>
  <si>
    <t>Казан для плова 3,5л со стеклянной крышкой, АП (темный мрамор) кмт37а</t>
  </si>
  <si>
    <t>К45а</t>
  </si>
  <si>
    <t>Казан для плова 4,5л АП(антиприг.покр.) К45а</t>
  </si>
  <si>
    <t>кмк47а</t>
  </si>
  <si>
    <t>Казан для плова 4,5л со стеклянной крышкой, АП (кофейный мрамор) кмк47а</t>
  </si>
  <si>
    <t>Кз60а</t>
  </si>
  <si>
    <t>Казан для плова 6л АП(антиприг.покр.) кз60а</t>
  </si>
  <si>
    <t>кмт65а</t>
  </si>
  <si>
    <t>Казан для плова 6л, АП (темный мрамор) кмт65а</t>
  </si>
  <si>
    <t>К70а</t>
  </si>
  <si>
    <t>Казан для плова 7л АП(антиприг.покр.) К70а</t>
  </si>
  <si>
    <t>кмк75а</t>
  </si>
  <si>
    <t>Казан для плова 7л, АП (кофейный мрамор) кмк75а</t>
  </si>
  <si>
    <t>К90а</t>
  </si>
  <si>
    <t>Казан для плова 9л АП(антиприг.покр.) К90а</t>
  </si>
  <si>
    <t>кмт102а/кмт102-1а</t>
  </si>
  <si>
    <t>Кастрюля 10л со стеклянная крышкаой, АП (темный мрамор) кмт102а/кмт102-1а</t>
  </si>
  <si>
    <t>Кл120</t>
  </si>
  <si>
    <t>Кастрюля 12л Алюминий Кл120</t>
  </si>
  <si>
    <t>К20</t>
  </si>
  <si>
    <t>Кастрюля 2л Алюминий К20</t>
  </si>
  <si>
    <t>кмс22а</t>
  </si>
  <si>
    <t>Кастрюля 2л со стеклянной крышкой АП (светлый мрамор) кмс22а</t>
  </si>
  <si>
    <t>К30</t>
  </si>
  <si>
    <t>Кастрюля 3л Алюминий К30</t>
  </si>
  <si>
    <t>кмк32а</t>
  </si>
  <si>
    <t>Кастрюля 3л со стеклянной крышкой АП (кофейный мрамор) кмк32а</t>
  </si>
  <si>
    <t>кмс32а</t>
  </si>
  <si>
    <t>Кастрюля 3л со стеклянной крышкой АП (светлый мрамор) кмс32а</t>
  </si>
  <si>
    <t>К40</t>
  </si>
  <si>
    <t>Кастрюля 4л Алюминий К40</t>
  </si>
  <si>
    <t>кмс42а</t>
  </si>
  <si>
    <t>Кастрюля 4л со стеклянной крышкой АП (светлый мрамор) кмс42а</t>
  </si>
  <si>
    <t>кго82а</t>
  </si>
  <si>
    <t>Кастрюля 8л со стеклянная крышкаой, АП линия "Granit ultra" (original) (д.30,5, в.18) кго82а</t>
  </si>
  <si>
    <t>кмт82а/кмт82а-1а</t>
  </si>
  <si>
    <t>Кастрюля 8л со стеклянной крышкой, АП (темный мрамор) кмт82а/кмт82а-1а</t>
  </si>
  <si>
    <t>Ж40</t>
  </si>
  <si>
    <t>Кастрюля-Жаровня 4л Алюминий Ж40</t>
  </si>
  <si>
    <t>ж518</t>
  </si>
  <si>
    <t>Кастрюля-Жаровня 5л Алюминий диаметром 28см Ж-518</t>
  </si>
  <si>
    <t>жмт52а</t>
  </si>
  <si>
    <t>Кастрюля-жаровня 5л со стеклянной крышкой, АП (темный мрамор) жмт52а</t>
  </si>
  <si>
    <t>К200</t>
  </si>
  <si>
    <t>Котел 20л Алюминий -К200 (3шт)</t>
  </si>
  <si>
    <t>К300</t>
  </si>
  <si>
    <t>Котел 30л Алюминий - к300 (2шт)</t>
  </si>
  <si>
    <t>К400</t>
  </si>
  <si>
    <t>Котел 40л Алюминий- к400</t>
  </si>
  <si>
    <t>К700</t>
  </si>
  <si>
    <t>Котел 70л Алюминий -к700 (1шт)</t>
  </si>
  <si>
    <t>КП121</t>
  </si>
  <si>
    <t>Котел походный-универсальный 12л КП121</t>
  </si>
  <si>
    <t>К401</t>
  </si>
  <si>
    <t>Крышка для котла 40л алюминиий (5шт) - к401</t>
  </si>
  <si>
    <t>П210а/п01а</t>
  </si>
  <si>
    <t>Противень 335х220х55мм АП (антиприг.покр.) - п210а/п01а (5шт)</t>
  </si>
  <si>
    <t>П260а/п02а</t>
  </si>
  <si>
    <t>Противень 365х260х55мм АП (антиприг.покр.) - п260а/п02а (5шт)</t>
  </si>
  <si>
    <t>П306а/п03а</t>
  </si>
  <si>
    <t>Противень 400х295х50мм АП (антиприг.покр.) - п306а/п03а (6шт)</t>
  </si>
  <si>
    <t>С180</t>
  </si>
  <si>
    <t>Сковорода 180/30мм Алюминий,с литой ал.ручкой - с180 (10шт)</t>
  </si>
  <si>
    <t>смк222а</t>
  </si>
  <si>
    <t>Сковорода 220/50мм со съемной ручкой, АП "Мраморное" (кофейный мрамор) смк222а</t>
  </si>
  <si>
    <t>смт227а</t>
  </si>
  <si>
    <t>Сковорода 220/60мм с ручкой, АП "Мраморное" (темный мрамор) смт227а</t>
  </si>
  <si>
    <t>С240</t>
  </si>
  <si>
    <t>Сковорода 240/60мм Алюминий, с утол.дном - с240 (10шт)</t>
  </si>
  <si>
    <t>С247ас</t>
  </si>
  <si>
    <t>Сковорода 240/60мм АП со съемной.руч.стек.кр. (Светлое антиприг.покр.) -с247ас (4шт)</t>
  </si>
  <si>
    <t>смк241а</t>
  </si>
  <si>
    <t>Сковорода 240/60мм с ручкой, АП "Мраморное" (кофейный мрамор) смк241а</t>
  </si>
  <si>
    <t>смт241а</t>
  </si>
  <si>
    <t>Сковорода 240/60мм с ручкой, АП "Мраморное" (темный мрамор) смт241а</t>
  </si>
  <si>
    <t>смк246а</t>
  </si>
  <si>
    <t>Сковорода 240/60мм со съемной ручкой, АП "Мраморное" (кофейный мрамор) смк246а</t>
  </si>
  <si>
    <t>С260</t>
  </si>
  <si>
    <t>Сковорода 260/35мм без ручка Алюминий- с260 (10шт)</t>
  </si>
  <si>
    <t>С262</t>
  </si>
  <si>
    <t>Сковорода 260/60мм Алюминий ,с утол.дном с руч.-с262 (10шт)</t>
  </si>
  <si>
    <t>смк262а</t>
  </si>
  <si>
    <t>Сковорода 260/60мм с ручкой, АП "Мраморное" (кофейный мрамор) смк262а</t>
  </si>
  <si>
    <t>смк263а</t>
  </si>
  <si>
    <t>Сковорода 260/60мм со съемной ручкой, АП "Мраморное" (кофейный мрамор) смк263а</t>
  </si>
  <si>
    <t>смф281а</t>
  </si>
  <si>
    <t>Сковорода 280/65 мм с ручкой, АП (фисташковый мрамор) -смф281а (4шт)</t>
  </si>
  <si>
    <t>смт281а</t>
  </si>
  <si>
    <t>Сковорода 280/65мм с ручкой АП (темный мрамор) смт281а</t>
  </si>
  <si>
    <t>смк281а</t>
  </si>
  <si>
    <t>Сковорода 280/65мм с ручкой, АП (кофейный мрамор) смк281а</t>
  </si>
  <si>
    <t>смк283а</t>
  </si>
  <si>
    <t>Сковорода 280/65мм со съемной ручкой, АП (кофейный мрамор) 4) смк283а</t>
  </si>
  <si>
    <t>смки282а</t>
  </si>
  <si>
    <t>Сковорода 280мм со съемной ручкой АП, (кофейный мрамор), линия "Marble Induction" смки282а</t>
  </si>
  <si>
    <t>смти282а</t>
  </si>
  <si>
    <t>Сковорода 280мм со съемной ручкой АП, (темный мрамор), линия "Marble Induction" смти282а</t>
  </si>
  <si>
    <t>сбмк200-1а</t>
  </si>
  <si>
    <t>Сковорода блинная 200мм АП (кофейный мрамор) сбмк200-1а</t>
  </si>
  <si>
    <t>сбмк220-1а</t>
  </si>
  <si>
    <t>Сковорода блинная 220мм АП (кофейный мрамор) сбмк220-1а</t>
  </si>
  <si>
    <t>сбмт222а</t>
  </si>
  <si>
    <t>Сковорода блинная 220мм с ручкой, АП (темный мрамор) сбмт222а</t>
  </si>
  <si>
    <t>сбмк240-1а</t>
  </si>
  <si>
    <t>Сковорода блинная 240мм АП (кофейный мрамор) сбмк240-1а</t>
  </si>
  <si>
    <t>сбмк262а</t>
  </si>
  <si>
    <t>Сковорода блинная 260мм с ручкой АП (кофейный мрамор) сбмк262а</t>
  </si>
  <si>
    <t>сбмт262а</t>
  </si>
  <si>
    <t>Сковорода блинная 260мм с ручкой АП (темный мрамор) сбмт262а</t>
  </si>
  <si>
    <t>СБ250а</t>
  </si>
  <si>
    <t>Сковорода блинная d250 АП а/пригарное покр со съем.руч.(6шт) - сб250а</t>
  </si>
  <si>
    <t>смс308а</t>
  </si>
  <si>
    <t>Сотейник 300/85мм со стеклянной крышкой, АП (светлый мрамор) смс308а</t>
  </si>
  <si>
    <t>смт308а</t>
  </si>
  <si>
    <t>Сотейник 300/85мм со стеклянной крышкой, АП (темный мрамор) смт308а</t>
  </si>
  <si>
    <t>смк308а</t>
  </si>
  <si>
    <t>Сотейник 300/85мм со съемными ручками,стеклянной крышкой,АП (кофейный мрамор) смк308а</t>
  </si>
  <si>
    <t>смк3281а</t>
  </si>
  <si>
    <t>Сотейник 320/85мм со стеклянной крышкой, АП (кофейный мрамор) смк3281а</t>
  </si>
  <si>
    <t>смт3281а</t>
  </si>
  <si>
    <t>Сотейник 320/85мм со стеклянной крышкой, АП (темный мрамор) смт3281а</t>
  </si>
  <si>
    <t>Ф02</t>
  </si>
  <si>
    <t>Форма для выпечки печений Алюминий (6шт) - ф02</t>
  </si>
  <si>
    <t>Ф02а</t>
  </si>
  <si>
    <t>Форма для выпечки печений с а/пригарн.покр - (6шт) ф02а</t>
  </si>
  <si>
    <t>х530</t>
  </si>
  <si>
    <t>Хлебная форма 500гр.прямоуг. 3-х секц. - х530 325*210*100 1,560 гр</t>
  </si>
  <si>
    <t>х730</t>
  </si>
  <si>
    <t>Хлебная форма Л-7 3-х секционная 340х220х115 1,807 гр арт.х730 (1х3сек)</t>
  </si>
  <si>
    <t>х701</t>
  </si>
  <si>
    <t>Хлебная форма Л-7 одинарн. овальная -(220х110х115 12) х701</t>
  </si>
  <si>
    <t>LuxPlastic</t>
  </si>
  <si>
    <t>L-146</t>
  </si>
  <si>
    <t>146 Планка с крючками L-146</t>
  </si>
  <si>
    <t>L-299</t>
  </si>
  <si>
    <t>299 Держатели-упоры для двери 2пр.L-299</t>
  </si>
  <si>
    <t>L-139</t>
  </si>
  <si>
    <t>139 Кольцо для полотенца L-139</t>
  </si>
  <si>
    <t>L-144</t>
  </si>
  <si>
    <t>144 Держатель для бумажного полотенца(шир.23см) L-144</t>
  </si>
  <si>
    <t>L-145</t>
  </si>
  <si>
    <t>145 Тёрка для орехов и чеснока L-145</t>
  </si>
  <si>
    <t>L-166</t>
  </si>
  <si>
    <t>166 Декоратор для кофе 4пр. L-166</t>
  </si>
  <si>
    <t>L-171</t>
  </si>
  <si>
    <t>171.ФОРМОЧКИ ДЛЯ КЕКСА диаметр 6,5см,100 ШТ-на блистере, в кор</t>
  </si>
  <si>
    <t>L-172</t>
  </si>
  <si>
    <t>172 Шприц кондитерский L-172</t>
  </si>
  <si>
    <t>L-198</t>
  </si>
  <si>
    <t>198 Совки для сыпучих 4пр</t>
  </si>
  <si>
    <t>L-218</t>
  </si>
  <si>
    <t>218 Форма для печенья 4предм. L-218</t>
  </si>
  <si>
    <t>L-221</t>
  </si>
  <si>
    <t>221 Ложечки для сыпучих 4пр</t>
  </si>
  <si>
    <t>L-237</t>
  </si>
  <si>
    <t>237 Тёрка для орехов,чеснока и сыра L-237</t>
  </si>
  <si>
    <t>L-238</t>
  </si>
  <si>
    <t>238 Форма для салатов</t>
  </si>
  <si>
    <t>L-245</t>
  </si>
  <si>
    <t>245 Приспособление для слива кастрюли L-245</t>
  </si>
  <si>
    <t>L-246</t>
  </si>
  <si>
    <t>246 Кисточка кондитерская L-246</t>
  </si>
  <si>
    <t>L-248</t>
  </si>
  <si>
    <t>248 Контейнер для чеснока L-248</t>
  </si>
  <si>
    <t>L-250</t>
  </si>
  <si>
    <t>250 Овощечистка L-250</t>
  </si>
  <si>
    <t>L-251</t>
  </si>
  <si>
    <t>251 Овощечистка L-251</t>
  </si>
  <si>
    <t>L-253</t>
  </si>
  <si>
    <t>253 Половник кухонный L-253</t>
  </si>
  <si>
    <t>L-254</t>
  </si>
  <si>
    <t>254 Лопатка кухонная L-254</t>
  </si>
  <si>
    <t>L-255</t>
  </si>
  <si>
    <t>255 Ложка кухонная L-255</t>
  </si>
  <si>
    <t>L-265</t>
  </si>
  <si>
    <t>265.ЗАКРУТКА ДЛЯ ГОЛУБЦОВ</t>
  </si>
  <si>
    <t>L-288</t>
  </si>
  <si>
    <t>288 Подставка под орехи L-288</t>
  </si>
  <si>
    <t>L-311</t>
  </si>
  <si>
    <t>311 Ложка для пасты L-311</t>
  </si>
  <si>
    <t>L-313</t>
  </si>
  <si>
    <t>313 Щипцы кухонные L-313</t>
  </si>
  <si>
    <t>L-314</t>
  </si>
  <si>
    <t>314 Овощечистка L-314</t>
  </si>
  <si>
    <t>L-317</t>
  </si>
  <si>
    <t>317 Овощечистка L-317</t>
  </si>
  <si>
    <t>L-318</t>
  </si>
  <si>
    <t>318 Кисточка кондитерская L-318</t>
  </si>
  <si>
    <t>L-320</t>
  </si>
  <si>
    <t>320 Лоток для столовых приборов пластик L-320</t>
  </si>
  <si>
    <t>L-335</t>
  </si>
  <si>
    <t>335 Трафарет кондитерский (0,370 X 0,290 X 0,160) L-335</t>
  </si>
  <si>
    <t>L-364</t>
  </si>
  <si>
    <t>364 Набор зажимов для пакета L-364</t>
  </si>
  <si>
    <t>L-365</t>
  </si>
  <si>
    <t>365 Нож пластиковый для овощей/ цитрусовых L-365</t>
  </si>
  <si>
    <t>L-394</t>
  </si>
  <si>
    <t>394 Контейнер для чеснока L-394</t>
  </si>
  <si>
    <t>L-396</t>
  </si>
  <si>
    <t>396 Контейнер для помидора L-396</t>
  </si>
  <si>
    <t>L-397</t>
  </si>
  <si>
    <t>397 Контейнер для яблока L-397</t>
  </si>
  <si>
    <t>BG-326</t>
  </si>
  <si>
    <t>BG-326 ТЁРКА ДЛЯ ОРЕХОВ И ЧЕСНОКА с контейнером-bager</t>
  </si>
  <si>
    <t>BSF-577</t>
  </si>
  <si>
    <t>BSF-577 Приспособление для удаления липестков у клубники</t>
  </si>
  <si>
    <t>L-338</t>
  </si>
  <si>
    <t>338 Миска ,4л "Бриллиант"L-338</t>
  </si>
  <si>
    <t>L-346</t>
  </si>
  <si>
    <t>346 Миска-салатник,4,0л "Грани" L-346</t>
  </si>
  <si>
    <t>L-349</t>
  </si>
  <si>
    <t>349 Миска гранённая,0,6л L-349</t>
  </si>
  <si>
    <t>L-366</t>
  </si>
  <si>
    <t>366 Набор солонок 2шт L-366</t>
  </si>
  <si>
    <t>VITROSS</t>
  </si>
  <si>
    <t>1SA165S</t>
  </si>
  <si>
    <t>Кастрюля 1,5л сферическая. "GREEN LIFE" 1SA165S</t>
  </si>
  <si>
    <t>1SC205S</t>
  </si>
  <si>
    <t>Кастрюля 4,0л сферическая. "GREEN LIFE" белосн. 1SC205S</t>
  </si>
  <si>
    <t>1SC225S</t>
  </si>
  <si>
    <t>Кастрюля 5,5л сф. "STRAWBERRY" белоснеж. 1SC225S</t>
  </si>
  <si>
    <t>Кастрюля сф. 4,0л "Fruits"</t>
  </si>
  <si>
    <t>Кастрюля сф.4,0л.(белоснеж) IMPERIO</t>
  </si>
  <si>
    <t>1SB165S</t>
  </si>
  <si>
    <t>Кастрюля цил. 1,5л "Maki"</t>
  </si>
  <si>
    <t>1SD165S/8SB185S</t>
  </si>
  <si>
    <t>Кастрюля цил. 2,0л. нержавеющая стальручки стекл. кр.INDIGO</t>
  </si>
  <si>
    <t>1SD165S</t>
  </si>
  <si>
    <t>Кастрюля цил. 2л "SUMMER TIME" 1SD165S</t>
  </si>
  <si>
    <t>1SB205S</t>
  </si>
  <si>
    <t>Кастрюля цил. 3л "SUMMER TIME" 1SB205S</t>
  </si>
  <si>
    <t>1SD205S</t>
  </si>
  <si>
    <t>Кастрюля цил. 4л "SUMMER TIME" 1SD205S</t>
  </si>
  <si>
    <t>1SD225S</t>
  </si>
  <si>
    <t>Кастрюля цил. 5,5л "VERANO", белосн., 1SD225S</t>
  </si>
  <si>
    <t>1SB245S</t>
  </si>
  <si>
    <t>Кастрюля Elisa цил.низк.5л</t>
  </si>
  <si>
    <t>1SB245S/ 8SB245S</t>
  </si>
  <si>
    <t>Кастрюля TODO NEVADA цил.низк.5л</t>
  </si>
  <si>
    <t>1SB168</t>
  </si>
  <si>
    <t>Ковш цил.1,5л "SUMMER TIME" 1SB168</t>
  </si>
  <si>
    <t>V2244</t>
  </si>
  <si>
    <t>Сковорода с пр/пр покр без крышки 2л, вишн</t>
  </si>
  <si>
    <t>1RC12</t>
  </si>
  <si>
    <t>Чайник сф. со св. 3л "STRAWBERRY" белоснеж., 1RC12</t>
  </si>
  <si>
    <t>Чайник сф. со св.3,0л (белоснежн.) LIMON</t>
  </si>
  <si>
    <t>ПРОЧИЕ БРЕНДЫ</t>
  </si>
  <si>
    <t>АМЕТ</t>
  </si>
  <si>
    <t>1с2237</t>
  </si>
  <si>
    <t>Салфетница"Бабочка" нержавеющая сталь 1с2237</t>
  </si>
  <si>
    <t>1с494</t>
  </si>
  <si>
    <t>Термос "Экспресс" с шир.горл. трехсекц. (3х0,4) типа S</t>
  </si>
  <si>
    <t>Балезинский ЛМЗ</t>
  </si>
  <si>
    <t>960</t>
  </si>
  <si>
    <t>Чаша азиатская 6,0 - КАл (казан) чугун,ал.крышка</t>
  </si>
  <si>
    <t>БИОЛ</t>
  </si>
  <si>
    <t>922</t>
  </si>
  <si>
    <t>0922 Казан походный чугунный татарский 22л с крышкой и дужкой "Туризм" д.500</t>
  </si>
  <si>
    <t>ВСЗ</t>
  </si>
  <si>
    <t>0719/H24GLOK/0140</t>
  </si>
  <si>
    <t>Крышка d 240 мм с ручкой (высокая) Н=6см</t>
  </si>
  <si>
    <t>Либрапласт</t>
  </si>
  <si>
    <t>НДР-6</t>
  </si>
  <si>
    <t>Набор №1 для резки овощей оранж. НДР-6</t>
  </si>
  <si>
    <t>НМП</t>
  </si>
  <si>
    <t>6020</t>
  </si>
  <si>
    <t>Сковорода с антипригарное покрытие литая 20 ПР со съем.ручка</t>
  </si>
  <si>
    <t>Нытва</t>
  </si>
  <si>
    <t>М27-Упрощ.обр-ка БШК</t>
  </si>
  <si>
    <t>Вилка столовая "Новинка" (М27) упр.обр. БШК нержавеющая сталь Нытва</t>
  </si>
  <si>
    <t>М13-ОБЫЧ.вид исп [б/упак]</t>
  </si>
  <si>
    <t>Вилка столовая "Уралочка" нержавеющая сталь (М13) ОБЫЧ.вид исп. [б/упак.] Нытва</t>
  </si>
  <si>
    <t>упр.обр. БШК</t>
  </si>
  <si>
    <t>Ложка столовая "Новинка" (М27) упр.обр. БШК нержавеющая сталь Нытва</t>
  </si>
  <si>
    <t>М13-ОБЫЧ.вид исп.[б/упак]</t>
  </si>
  <si>
    <t>Ложка чайная "Уралочка" нержавеющая сталь (М13) ОБЫЧ.вид исп. [б/упак.] Нытва</t>
  </si>
  <si>
    <t>(КК) в карт кор.ОБЫЧ.исп.</t>
  </si>
  <si>
    <t>Набор 18-ти пр стол "Аппетит" нержавеющая сталь (КК) в карт кор.ОБЫЧ.исп. Нытва</t>
  </si>
  <si>
    <t>Набор 18-ти пр стол "Уралочка" нержавеющая сталь (М13) (КК) в карт кор ОБЫЧ.вид исп. Нытва</t>
  </si>
  <si>
    <t>Северсталь-Эмаль</t>
  </si>
  <si>
    <t>6661814</t>
  </si>
  <si>
    <t>6661814 Блинница 180мм,1руч.без/кр. внешнее покрытие Piroskan бордо</t>
  </si>
  <si>
    <t>С1406</t>
  </si>
  <si>
    <t>Дуршлаг 0,8 л декор</t>
  </si>
  <si>
    <t>1с111</t>
  </si>
  <si>
    <t>Набор № 111 "Клубника садовая" (таз 12л., ковш 1л, чайник 3,5л., ведро 12л.)</t>
  </si>
  <si>
    <t>ТИМА</t>
  </si>
  <si>
    <t>4614н \ KC-GTL141 00</t>
  </si>
  <si>
    <t>Крышка стеклян низ. пароотвод 14 с мет ободком арт.4614н \ KC*GTL141 00</t>
  </si>
  <si>
    <t>4618н \4618нгКС*GTL181 00</t>
  </si>
  <si>
    <t>Крышка стеклян низ. пароотвод 18 с мет ободком арт.4618н \ КС*GTL181 00</t>
  </si>
  <si>
    <t>4620н \ КС*GTL201 00</t>
  </si>
  <si>
    <t>Крышка стеклян низ. пароотвод 20 с мет ободком арт.4620н \ КС*GTL201 00</t>
  </si>
  <si>
    <t>4624н \ КС*GTL241 00</t>
  </si>
  <si>
    <t>Крышка стеклян низ. пароотвод 24 с мет ободком арт.4624н \ КС*GTL241 00</t>
  </si>
  <si>
    <t>4626н \ КС*GTL261 00</t>
  </si>
  <si>
    <t>Крышка стеклян низ. пароотвод 26 с мет ободком арт.4626н \ КС*GTL261 00</t>
  </si>
  <si>
    <t>4628н \ КС*GTL281 00</t>
  </si>
  <si>
    <t>Крышка стеклян низ. пароотвод 28 с мет ободком арт.4628н \ КС*GTL281 00</t>
  </si>
  <si>
    <t>4630н \ KC-GTL301 00</t>
  </si>
  <si>
    <t>Крышка стеклян низ. пароотвод 30 с мет ободком арт.4630н \ KC-GTL301 00</t>
  </si>
  <si>
    <t>4630н</t>
  </si>
  <si>
    <t>Крышка стеклян низ. пароотвод 30 с широким метал/обод</t>
  </si>
  <si>
    <t>4632н \ КС*GTL321 00</t>
  </si>
  <si>
    <t>Крышка стеклян низ. пароотвод 32 с мет ободком арт.4632н \ КС*GTL321 00</t>
  </si>
  <si>
    <t>ЭРГ-АЛ</t>
  </si>
  <si>
    <t>00831 ЭРГАЛ</t>
  </si>
  <si>
    <t>Сито алюмин. 220 мм. с нержавеющая сталь сеткой -ЭРГАЛ</t>
  </si>
  <si>
    <t>00049 ЭРГАЛ</t>
  </si>
  <si>
    <t>Сито алюмин. 300 мм. с нержавеющая сталь сеткой -ЭРГАЛ</t>
  </si>
  <si>
    <t>00580 ЭРГАЛ</t>
  </si>
  <si>
    <t>Цедилка алюминиевая Ø300 мм h=120мм,2руч на 7л (ГРОХОТ) -ЭРГАЛ</t>
  </si>
  <si>
    <t>00066 ЭРГАЛ</t>
  </si>
  <si>
    <t>Черпак-Ковш 2,0л с кронштейном ,алюминиевый 2,0 л. -ЭРГАЛ</t>
  </si>
  <si>
    <t>BAGER</t>
  </si>
  <si>
    <t>BG-233</t>
  </si>
  <si>
    <t>BG-233.КОНДИТЕРСКИЙ МЕШОЧЕК С НАСАДКАМИ</t>
  </si>
  <si>
    <t>BG-266</t>
  </si>
  <si>
    <t>BG-266.ЩПРИЦ КОНДИТЕРСКИЙ С НАСАДКАМИ-bager</t>
  </si>
  <si>
    <t>BG-270</t>
  </si>
  <si>
    <t>BG-270.ДЕРЖАТЕЛЬ-УПОР для двери-bager (2*4*1,5 см) 4пр</t>
  </si>
  <si>
    <t>BG-324</t>
  </si>
  <si>
    <t>BG-324 ПРЕСС ДЛЯ ЧЕСНОКА-bager</t>
  </si>
  <si>
    <t>BG-365</t>
  </si>
  <si>
    <t>BG-365.СУШИЛКА ДЛЯ ЗЕЛЕНИ</t>
  </si>
  <si>
    <t>ELROS</t>
  </si>
  <si>
    <t>С-1610САП4/6ДР</t>
  </si>
  <si>
    <t>Кастрюля 2,0 л "Premium Gold Премиум золотой"</t>
  </si>
  <si>
    <t>С-1615САП4/6ДР</t>
  </si>
  <si>
    <t>Кастрюля 4,5 л "Premium Gold Премиум золотой"</t>
  </si>
  <si>
    <t>FALEZ</t>
  </si>
  <si>
    <t>HUR-S-14184</t>
  </si>
  <si>
    <t>Набор нержавеющая сталь посуды с антипригарное покрытиер. 7 пр.(каст.8х10(2,1л) и 22х12(4л),жар.26х7(3,8л),сков.26х5(2,5л))</t>
  </si>
  <si>
    <t>HURS-069/1095-GR/FCS-1024</t>
  </si>
  <si>
    <t>Сковорода нержавеющая стальф22 с внутр.зеленым керамическое покрытие</t>
  </si>
  <si>
    <t>BD-720</t>
  </si>
  <si>
    <t>Чаша круглая с ободком №1</t>
  </si>
  <si>
    <t>FREECOOK</t>
  </si>
  <si>
    <t>CK-458</t>
  </si>
  <si>
    <t>Ложка для пасты</t>
  </si>
  <si>
    <t>CK-462</t>
  </si>
  <si>
    <t>Ложка кухонная</t>
  </si>
  <si>
    <t>CK-463</t>
  </si>
  <si>
    <t>Ложка кухонная с отверстиями</t>
  </si>
  <si>
    <t>CK-066</t>
  </si>
  <si>
    <t>Набор для специй 6 пр., цвета в ассортименте</t>
  </si>
  <si>
    <t>CK-592</t>
  </si>
  <si>
    <t>Нож для чистки фрук.и овощ. "Люкс" вертик. цвета в ассорт</t>
  </si>
  <si>
    <t>CK-240</t>
  </si>
  <si>
    <t>Пресс для чеснока "САНТЕ" цвета в ассорт. 24\144</t>
  </si>
  <si>
    <t>CK-035</t>
  </si>
  <si>
    <t>Терка "Жульен" цвета в ассортименте</t>
  </si>
  <si>
    <t>ЭЛФ014</t>
  </si>
  <si>
    <t>Хлебница (385х275х195)</t>
  </si>
  <si>
    <t>IRAK PLASTIC</t>
  </si>
  <si>
    <t>CK-350</t>
  </si>
  <si>
    <t>Ведро для мусора с педалью "Тюльпаны" 5.25 л</t>
  </si>
  <si>
    <t>E-346</t>
  </si>
  <si>
    <t>Крышка прозрачная универсальная W 34 x L 46 cm</t>
  </si>
  <si>
    <t>0004</t>
  </si>
  <si>
    <t>Кувшин 2л декорир. "Дельфин"</t>
  </si>
  <si>
    <t>Кувшин 2л декорир. "Дерево" пластик</t>
  </si>
  <si>
    <t>0005</t>
  </si>
  <si>
    <t>Кувшин овальный 2л декорир. "Дельфин"</t>
  </si>
  <si>
    <t>167</t>
  </si>
  <si>
    <t>Стеклоочиститель-сгон большой 23х33см,цвета в ассортименте</t>
  </si>
  <si>
    <t>MIRADAN</t>
  </si>
  <si>
    <t>M-238</t>
  </si>
  <si>
    <t>БАНКА ДЛЯ СЫПУЧИХ 720 МЛ ШИРОКАЯ С ЛОЖКОЙ</t>
  </si>
  <si>
    <t>M-267</t>
  </si>
  <si>
    <t>НАБОР ДЛЯ СПЕЦИЙ С ДВУМЯ ЁМКОСТЯМИ ДЛЯ ЖИДКОСТИ 4 ПР</t>
  </si>
  <si>
    <t>NIKA</t>
  </si>
  <si>
    <t>ЧА2</t>
  </si>
  <si>
    <t>Чехол для глад. доски антипригарный без поролона (тефлон -1290х480) (ЧА2)</t>
  </si>
  <si>
    <t>OZMET</t>
  </si>
  <si>
    <t>59</t>
  </si>
  <si>
    <t>059 Чаша для фруктов д.23х33х11см в подарочная упаковка</t>
  </si>
  <si>
    <t>6103</t>
  </si>
  <si>
    <t>06103 Контейнер для хранения круглый 0,7л (малый)</t>
  </si>
  <si>
    <t>67</t>
  </si>
  <si>
    <t>067 Этажерка 4х ярусная 34х42х68см</t>
  </si>
  <si>
    <t>PINGUIN</t>
  </si>
  <si>
    <t>PEE-023</t>
  </si>
  <si>
    <t>Термос детский с узким горлом 0,23 л со стеклянной колбой, в коробке PEE-023</t>
  </si>
  <si>
    <t>YIL-TEM</t>
  </si>
  <si>
    <t>YT-010</t>
  </si>
  <si>
    <t>СУШИЛКА ДЛЯ БЕЛЬЯ "ХЕРКЮЛЬ" АЛЮМИНИЙ длина-16 м</t>
  </si>
  <si>
    <t>ZAMBAK</t>
  </si>
  <si>
    <t>164</t>
  </si>
  <si>
    <t>Стеклоочиститель-сгон маленький 21х24см, цвета в ассортименте</t>
  </si>
  <si>
    <t>БЕЗ БРЕНДА</t>
  </si>
  <si>
    <t>HDP001-12</t>
  </si>
  <si>
    <t>Адаптер для индукц плиты 12см,Толщина 3,4 мм,2 слоя:из нержавеющая стальст.18/0+алюм.,ручка из стали</t>
  </si>
  <si>
    <t/>
  </si>
  <si>
    <t>HDP001-14</t>
  </si>
  <si>
    <t>Адаптер для индукц плиты 14см,Толщина 3,4 мм,2 слоя:из нержавеющая стальст.18/0+алюм.,ручка из стали</t>
  </si>
  <si>
    <t>HDP001-20</t>
  </si>
  <si>
    <t>Адаптер для индукц плиты 20см,Толщина 3,4 мм,2 слоя:из нержавеющая стальст.18/0+алюм.,ручка из стали</t>
  </si>
  <si>
    <t>HDP001-24</t>
  </si>
  <si>
    <t>Адаптер для индукц плиты 24см,Толщина 3,4 мм,2 слоя:из нержавеющая стальст.18/0+алюм.,ручка из стали</t>
  </si>
  <si>
    <t>HDP008-12</t>
  </si>
  <si>
    <t>Адаптер для индукц плиты сьемная ручка 12см,Толщина 3,4 мм,2 слоя:из нержавеющая стальст.18/0+алюм.,ручка</t>
  </si>
  <si>
    <t>HDP008-14</t>
  </si>
  <si>
    <t>Адаптер для индукц плиты сьемная ручка 14см,Толщина 3,4 мм,2 слоя:из нержавеющая стальст.18/0+алюм.,ручка</t>
  </si>
  <si>
    <t>HDP008-20</t>
  </si>
  <si>
    <t>Адаптер для индукц плиты сьемная ручка 20см,Толщина 3,4 мм,2 слоя:из нержавеющая стальст.18/0+алюм.,ручка</t>
  </si>
  <si>
    <t>HDP008-24</t>
  </si>
  <si>
    <t>Адаптер для индукц плиты сьемная ручка 24см,Толщина 3,4 мм,2 слоя:из нержавеющая стальст.18/0+алюм.,ручка</t>
  </si>
  <si>
    <t>ЭЛФ547</t>
  </si>
  <si>
    <t>Контейнер "Grand" прямоугольный 1,5 л</t>
  </si>
  <si>
    <t>МА-С ГОСТ4025-83</t>
  </si>
  <si>
    <t>Мясорубка алюминиевая «ПОЛТАВА» МА-С ГОСТ4025-83 в подароч. Упак</t>
  </si>
  <si>
    <t>13065</t>
  </si>
  <si>
    <t>Чаша для хранения с крышкой ELENA 200 мл (10х10х4,5)</t>
  </si>
  <si>
    <t>ЭЛФ306</t>
  </si>
  <si>
    <t>Комод №6 с рисунком "Корзины"</t>
  </si>
  <si>
    <t>L9747</t>
  </si>
  <si>
    <t>Набор стаканов LADY DIAMOND 270мл 6шт</t>
  </si>
  <si>
    <t>L9743</t>
  </si>
  <si>
    <t>Набор фужеров LADY DIAMOND 270мл 6шт</t>
  </si>
  <si>
    <t>4616н \ КС-GTL161 00</t>
  </si>
  <si>
    <t>Крышка стеклян низ. пароотвод 16 с мет ободком арт.4616н \ КС*GTL161 00</t>
  </si>
  <si>
    <t>4622н \ КС*GTL221 00</t>
  </si>
  <si>
    <t>Крышка стеклян низ. пароотвод 22 с мет ободком арт.4622н \ КС*GTL221 00</t>
  </si>
  <si>
    <t>Ф7-СК22Е</t>
  </si>
  <si>
    <t>Сковорода глубокая 22см индукция, простая ручка черн. с софтач</t>
  </si>
  <si>
    <t>Ф7-СК22</t>
  </si>
  <si>
    <t>Сковорода глубокая 22см индукция, съемная ручка черн. с софтач</t>
  </si>
  <si>
    <t>Ф7-СК24Е</t>
  </si>
  <si>
    <t>Сковорода глубокая 24см индукция, простая ручка черн. с софтач</t>
  </si>
  <si>
    <t>Ф7-СК24</t>
  </si>
  <si>
    <t>Сковорода глубокая 24см индукция, съемная ручка черн. с софтач</t>
  </si>
  <si>
    <t>Ф7-СК26Е</t>
  </si>
  <si>
    <t>Сковорода глубокая 26см индукция, простая ручка черн. с софтач</t>
  </si>
  <si>
    <t>Ф7-СК26</t>
  </si>
  <si>
    <t>Сковорода глубокая 26см индукция, съемная ручка черн. с софтач</t>
  </si>
  <si>
    <t>Ф7-СК28Е</t>
  </si>
  <si>
    <t>Сковорода глубокая 28см индукция, простая ручка черн. с софтач</t>
  </si>
  <si>
    <t>Ф7-СК28</t>
  </si>
  <si>
    <t>Сковорода глубокая 28см индукция, съемная ручка черн. с софтач</t>
  </si>
  <si>
    <t>Лс28п</t>
  </si>
  <si>
    <t>Сковорода d=280см алюмин.антиприганое покр.Индукция (КМ30128)</t>
  </si>
  <si>
    <t>36-0616-07</t>
  </si>
  <si>
    <t>Свеча декоративная парафиновая цвет - белый, КРУГЛАЯ, размер d=7,5см;арт.36-0616-07</t>
  </si>
  <si>
    <t>64-0203-09</t>
  </si>
  <si>
    <t>Свеча декоративная парафиновая цвет - белый, размер 7,5x15 см;арт.64-0203-09</t>
  </si>
  <si>
    <t>64-0214-08</t>
  </si>
  <si>
    <t>Свеча декоративная парафиновая цвет - белый, размер 7,5x20 см;арт.64-0214-08</t>
  </si>
  <si>
    <t>36-0616-01</t>
  </si>
  <si>
    <t>Свеча декоративная парафиновая цвет - бирюзовый, КРУГЛАЯ, размер d=7,5см;арт.36-0616-01</t>
  </si>
  <si>
    <t>64-0202-01</t>
  </si>
  <si>
    <t>Свеча декоративная парафиновая цвет - бирюзовый, размер 7,5x10 см;арт.64-0202-01</t>
  </si>
  <si>
    <t>64-0203-07</t>
  </si>
  <si>
    <t>Свеча декоративная парафиновая цвет - бирюзовый, размер 7,5x15 см;арт.64-0203-07</t>
  </si>
  <si>
    <t>64-0214-01</t>
  </si>
  <si>
    <t>Свеча декоративная парафиновая цвет - бирюзовый, размер 7,5x20 см;арт.64-0214-01</t>
  </si>
  <si>
    <t>64-0201-01</t>
  </si>
  <si>
    <t>Свеча декоративная парафиновая цвет - бирюзовый, размер 7,5x7,5 см;арт.64-0201-01</t>
  </si>
  <si>
    <t>36-0616-25</t>
  </si>
  <si>
    <t>Свеча декоративная парафиновая цвет - бургундия, КРУГЛАЯ, размер d=7,5см;арт.36-0616-25</t>
  </si>
  <si>
    <t>64-0202-13</t>
  </si>
  <si>
    <t>Свеча декоративная парафиновая цвет - бургундия, размер 7,5x10 см;арт.64-0202-13</t>
  </si>
  <si>
    <t>64-0203-19</t>
  </si>
  <si>
    <t>Свеча декоративная парафиновая цвет - бургундия, размер 7,5x15 см;арт.64-0203-19</t>
  </si>
  <si>
    <t>36-0616-34</t>
  </si>
  <si>
    <t>Свеча декоративная парафиновая цвет - бургундия, размер 7,5x20 см;арт.36-0616-34</t>
  </si>
  <si>
    <t>64-0201-12</t>
  </si>
  <si>
    <t>Свеча декоративная парафиновая цвет - бургундия, размер 7,5x7,5 см;арт.64-0201-12</t>
  </si>
  <si>
    <t>36-0616-28</t>
  </si>
  <si>
    <t>Свеча декоративная парафиновая цвет - голубой, КРУГЛАЯ, размер d=7,5см;арт.36-0616-28</t>
  </si>
  <si>
    <t>64-0202-18</t>
  </si>
  <si>
    <t>Свеча декоративная парафиновая цвет - голубой, размер 7,5x10 см;арт.64-0202-18</t>
  </si>
  <si>
    <t>64-0203-18</t>
  </si>
  <si>
    <t>Свеча декоративная парафиновая цвет - голубой, размер 7,5x15 см;арт.64-0203-18</t>
  </si>
  <si>
    <t>64-0214-18</t>
  </si>
  <si>
    <t>Свеча декоративная парафиновая цвет - голубой, размер 7,5x20 см;арт.64-0214-18</t>
  </si>
  <si>
    <t>64-0202-35</t>
  </si>
  <si>
    <t>Свеча декоративная парафиновая цвет - голубой, размер 7,5x7,5 см;арт.64-0202-35</t>
  </si>
  <si>
    <t>36-0616-26</t>
  </si>
  <si>
    <t>Свеча декоративная парафиновая цвет - зеленый, КРУГЛАЯ, размер d=7,5см;арт.36-0616-26</t>
  </si>
  <si>
    <t>64-0202-05</t>
  </si>
  <si>
    <t>Свеча декоративная парафиновая цвет - зеленый, размер 7,5x10 см;арт.64-0202-05</t>
  </si>
  <si>
    <t>64-0203-03</t>
  </si>
  <si>
    <t>Свеча декоративная парафиновая цвет - зеленый, размер 7,5x15 см;арт.64-0203-03</t>
  </si>
  <si>
    <t>64-0214-05</t>
  </si>
  <si>
    <t>Свеча декоративная парафиновая цвет - зеленый, размер 7,5x20 см;арт.64-0214-05</t>
  </si>
  <si>
    <t>64-0201-05</t>
  </si>
  <si>
    <t>Свеча декоративная парафиновая цвет - зеленый, размер 7,5x7,5 см;арт.64-0201-05</t>
  </si>
  <si>
    <t>36-0616-21</t>
  </si>
  <si>
    <t>Свеча декоративная парафиновая цвет - золотой, КРУГЛАЯ, размер d=7,5см;арт.36-0616-21</t>
  </si>
  <si>
    <t>64-0202-21</t>
  </si>
  <si>
    <t>Свеча декоративная парафиновая цвет - золотой, размер 7,5x10 см;арт.64-0202-21</t>
  </si>
  <si>
    <t>64-0203-21</t>
  </si>
  <si>
    <t>Свеча декоративная парафиновая цвет - золотой, размер 7,5x15 см;арт.64-0203-21</t>
  </si>
  <si>
    <t>64-0214-21</t>
  </si>
  <si>
    <t>Свеча декоративная парафиновая цвет - золотой, размер 7,5x20 см;арт.64-0214-21</t>
  </si>
  <si>
    <t>64-0201-21</t>
  </si>
  <si>
    <t>Свеча декоративная парафиновая цвет - золотой, размер 7,5x7,5 см;арт.64-0201-21</t>
  </si>
  <si>
    <t>36-0616-27</t>
  </si>
  <si>
    <t>Свеча декоративная парафиновая цвет - красный, КРУГЛАЯ, размер d=7,5 см;арт.36-0616-27</t>
  </si>
  <si>
    <t>64-0214-02</t>
  </si>
  <si>
    <t>Свеча декоративная парафиновая цвет - красный, размер 7,5x20 см;арт.64-0214-02</t>
  </si>
  <si>
    <t>64-0201-02</t>
  </si>
  <si>
    <t>Свеча декоративная парафиновая цвет - красный, размер 7,5x7,5 см;арт.64-0201-02</t>
  </si>
  <si>
    <t>36-0616-32</t>
  </si>
  <si>
    <t>Свеча декоративная парафиновая цвет - лиловый, КРУГЛАЯ, размер d=7,5см;арт.36-0616-32</t>
  </si>
  <si>
    <t>64-0203-17</t>
  </si>
  <si>
    <t>Свеча декоративная парафиновая цвет - лиловый, размер 7,5x15 см;арт.64-0203-17</t>
  </si>
  <si>
    <t>64-0214-17</t>
  </si>
  <si>
    <t>Свеча декоративная парафиновая цвет - лиловый, размер 7,5x20 см;арт.64-0214-17</t>
  </si>
  <si>
    <t>36-0616-23</t>
  </si>
  <si>
    <t>Свеча декоративная парафиновая цвет - оранжевый, КРУГЛАЯ, размер d=7,5см;арт.36-0616-23</t>
  </si>
  <si>
    <t>64-0202-044</t>
  </si>
  <si>
    <t>Свеча декоративная парафиновая цвет - оранжевый, размер 7,5x10 см;арт.64-0202-044</t>
  </si>
  <si>
    <t>64-0203-12</t>
  </si>
  <si>
    <t>Свеча декоративная парафиновая цвет - оранжевый, размер 7,5x15 см;арт.64-0203-12</t>
  </si>
  <si>
    <t>64-0214-04</t>
  </si>
  <si>
    <t>Свеча декоративная парафиновая цвет - оранжевый, размер 7,5x20 см;арт.64-0214-04</t>
  </si>
  <si>
    <t>64-0201-04</t>
  </si>
  <si>
    <t>Свеча декоративная парафиновая цвет - оранжевый, размер 7,5x7,5 см;арт.64-0201-04</t>
  </si>
  <si>
    <t>36-0616-33</t>
  </si>
  <si>
    <t>Свеча декоративная парафиновая цвет - розовый, КРУГЛАЯ, размер d=7,5см;арт.36-0616-33</t>
  </si>
  <si>
    <t>36-0616-44</t>
  </si>
  <si>
    <t>Свеча декоративная парафиновая цвет - розовый, размер 7,5x10 см;арт.36-0616-44</t>
  </si>
  <si>
    <t>36-0616-45</t>
  </si>
  <si>
    <t>Свеча декоративная парафиновая цвет - розовый, размер 7,5x15 см;арт.36-0616-45</t>
  </si>
  <si>
    <t>36-0616-46</t>
  </si>
  <si>
    <t>Свеча декоративная парафиновая цвет - розовый, размер 7,5x20 см;арт.36-0616-46</t>
  </si>
  <si>
    <t>36-0616-43</t>
  </si>
  <si>
    <t>Свеча декоративная парафиновая цвет - розовый, размер 7,5x7,5 см;арт.36-0616-43</t>
  </si>
  <si>
    <t>36-0616-20</t>
  </si>
  <si>
    <t>Свеча декоративная парафиновая цвет - серебро, КРУГЛАЯ, размер d=7,5 см;арт.36-0616-20</t>
  </si>
  <si>
    <t>64-0202-20</t>
  </si>
  <si>
    <t>Свеча декоративная парафиновая цвет - серебро, размер 7,5x10 см;арт.64-0202-20</t>
  </si>
  <si>
    <t>64-0203-20</t>
  </si>
  <si>
    <t>Свеча декоративная парафиновая цвет - серебро, размер 7,5x15 см;арт.64-0203-20</t>
  </si>
  <si>
    <t>64-0214-20</t>
  </si>
  <si>
    <t>Свеча декоративная парафиновая цвет - серебро, размер 7,5x20 см;арт.64-0214-20</t>
  </si>
  <si>
    <t>64-0201-20</t>
  </si>
  <si>
    <t>Свеча декоративная парафиновая цвет - серебро, размер 7,5x7,5 см;арт.64-0201-20</t>
  </si>
  <si>
    <t>36-0616-22</t>
  </si>
  <si>
    <t>Свеча декоративная парафиновая цвет - серый, КРУГЛАЯ, размер d=7,5см;арт.36-0616-22</t>
  </si>
  <si>
    <t>64-0202-11</t>
  </si>
  <si>
    <t>Свеча декоративная парафиновая цвет - серый, размер 7,5x10 см;арт.64-0202-11</t>
  </si>
  <si>
    <t>64-0203-13</t>
  </si>
  <si>
    <t>Свеча декоративная парафиновая цвет - серый, размер 7,5x15 см;арт.64-0203-13</t>
  </si>
  <si>
    <t>64-0214-13</t>
  </si>
  <si>
    <t>Свеча декоративная парафиновая цвет - серый, размер 7,5x20 см;арт.64-0214-13</t>
  </si>
  <si>
    <t>64-0201-10</t>
  </si>
  <si>
    <t>Свеча декоративная парафиновая цвет - серый, размер 7,5x7,5 см;арт.64-0201-10</t>
  </si>
  <si>
    <t>36-0616-30</t>
  </si>
  <si>
    <t>Свеча декоративная парафиновая цвет - синий, КРУГЛАЯ, размер d=7,5см;арт.36-0616-30</t>
  </si>
  <si>
    <t>36-0616-40</t>
  </si>
  <si>
    <t>Свеча декоративная парафиновая цвет - синий, размер 7,5x10 см;арт.36-0616-40</t>
  </si>
  <si>
    <t>64-0203-15</t>
  </si>
  <si>
    <t>Свеча декоративная парафиновая цвет - синий, размер 7,5x15 см;арт.64-0203-15</t>
  </si>
  <si>
    <t>64-0214-15</t>
  </si>
  <si>
    <t>Свеча декоративная парафиновая цвет - синий, размер 7,5x20 см;арт.64-0214-15</t>
  </si>
  <si>
    <t>36-0616-39</t>
  </si>
  <si>
    <t>Свеча декоративная парафиновая цвет - синий, размер 7,5x7,5 см;арт.36-0616-39</t>
  </si>
  <si>
    <t>36-0616-06</t>
  </si>
  <si>
    <t>Свеча декоративная парафиновая цвет - слоновая кость, КРУГЛАЯ, размер d=7,5см;арт.36-0616-06</t>
  </si>
  <si>
    <t>64-0203-01</t>
  </si>
  <si>
    <t>Свеча декоративная парафиновая цвет - слоновая кость, размер 7,5x15 см;арт.64-0203-01</t>
  </si>
  <si>
    <t>64-0214-06</t>
  </si>
  <si>
    <t>Свеча декоративная парафиновая цвет - слоновая кость, размер 7,5x20 см;арт.64-0214-06</t>
  </si>
  <si>
    <t>64-0201-06</t>
  </si>
  <si>
    <t>Свеча декоративная парафиновая цвет - слоновая кость, размер 7,5x7,5 см;арт.64-0201-06</t>
  </si>
  <si>
    <t>36-0616-29</t>
  </si>
  <si>
    <t>Свеча декоративная парафиновая цвет - темно-зеленый, КРУГЛАЯ, размер d=7,5см;арт.36-0616-29</t>
  </si>
  <si>
    <t>36-0616-37</t>
  </si>
  <si>
    <t>Свеча декоративная парафиновая цвет - темно-зеленый, размер 7,5x10 см;арт.36-0616-37</t>
  </si>
  <si>
    <t>64-0203-16</t>
  </si>
  <si>
    <t>Свеча декоративная парафиновая цвет - темно-зеленый, размер 7,5x15 см;арт.64-0203-16</t>
  </si>
  <si>
    <t>36-0616-38</t>
  </si>
  <si>
    <t>Свеча декоративная парафиновая цвет - темно-зеленый, размер 7,5x20 см;арт.36-0616-38</t>
  </si>
  <si>
    <t>36-0616-36</t>
  </si>
  <si>
    <t>Свеча декоративная парафиновая цвет - темно-зеленый, размер 7,5x7,5 см;арт.36-0616-36</t>
  </si>
  <si>
    <t>36-0616-24</t>
  </si>
  <si>
    <t>Свеча декоративная парафиновая цвет - темно-серый, КРУГЛАЯ, размер d=7,5см;арт.36-0616-24</t>
  </si>
  <si>
    <t>64-0202-10</t>
  </si>
  <si>
    <t>Свеча декоративная парафиновая цвет - темно-серый, размер 7,5x10 см;арт.64-0202-10</t>
  </si>
  <si>
    <t>64-0203-14</t>
  </si>
  <si>
    <t>Свеча декоративная парафиновая цвет - темно-серый, размер 7,5x15 см;арт.64-0203-14</t>
  </si>
  <si>
    <t>64-0214-14</t>
  </si>
  <si>
    <t>Свеча декоративная парафиновая цвет - темно-серый, размер 7,5x20 см;арт.64-0214-14</t>
  </si>
  <si>
    <t>64-0201-09</t>
  </si>
  <si>
    <t>Свеча декоративная парафиновая цвет - темно-серый, размер 7,5x7,5 см;арт.64-0201-09</t>
  </si>
  <si>
    <t>36-0616-31</t>
  </si>
  <si>
    <t>Свеча декоративная парафиновая цвет - темно-фиолетовый, КРУГЛАЯ, размер d=7,5см;арт.36-0616-31</t>
  </si>
  <si>
    <t>36-0616-41</t>
  </si>
  <si>
    <t>Свеча декоративная парафиновая цвет - темно-фиолетовый, размер 7,5x10 см;арт.36-0616-41</t>
  </si>
  <si>
    <t>64-0203-06</t>
  </si>
  <si>
    <t>Свеча декоративная парафиновая цвет - темно-фиолетовый, размер 7,5x15 см;арт.64-0203-06</t>
  </si>
  <si>
    <t>64-0214-03</t>
  </si>
  <si>
    <t>Свеча декоративная парафиновая цвет - темно-фиолетовый, размер 7,5x20 см;арт.64-0214-03</t>
  </si>
  <si>
    <t>64-0201-03</t>
  </si>
  <si>
    <t>Свеча декоративная парафиновая цвет - темно-фиолетовый, размер 7,5x7,5 см;арт.64-0201-03</t>
  </si>
  <si>
    <t>KRJYD1104-K24411_2</t>
  </si>
  <si>
    <t>Чашка "BLACK TEA" 320 мл коричневая</t>
  </si>
  <si>
    <t>Заказ в DARIIS</t>
  </si>
  <si>
    <t>Прайс-лист от 11.09.2026. Лист на бренд.</t>
  </si>
  <si>
    <t>Сумма заказа, ₽</t>
  </si>
  <si>
    <t>Минимальный заказ (самовывоз), ₽</t>
  </si>
  <si>
    <t>Бесплатная доставка в пределах МКАД от, ₽</t>
  </si>
  <si>
    <t>Статус</t>
  </si>
  <si>
    <t>Куда прислать заполненный файл</t>
  </si>
  <si>
    <t>info@optomposuda.ru</t>
  </si>
  <si>
    <t>Телефон офиса</t>
  </si>
  <si>
    <t>8 (495) 105-96-26</t>
  </si>
  <si>
    <t>Цены за штуку, с НДС. Собираем заказ поштучно, упаковку разбираем — количество любое. Колонка «В упаковке» справочная. Остатки на дату прайса, наличие подтверждает менеджер при обработке заказа. Колонка «Карточка» открывает страницу товара с фото и характеристиками.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</si>
</sst>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 ##0.00"/>
    <numFmt numFmtId="165" formatCode="# ##0"/>
  </numFmts>
  <fonts count="7" x14ac:knownFonts="1">
    <font>
      <color theme="1"/>
      <family val="2"/>
      <scheme val="minor"/>
      <sz val="11"/>
      <name val="Calibri"/>
    </font>
    <font>
      <b/>
      <sz val="14"/>
    </font>
    <font>
      <i/>
    </font>
    <font>
      <b/>
    </font>
    <font>
      <b/>
      <sz val="12"/>
    </font>
    <font>
      <u/>
      <color rgb="FF0563C1"/>
    </font>
    <font>
      <b/>
      <sz val="1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AFAFA"/>
      </patternFill>
    </fill>
    <fill>
      <patternFill patternType="solid">
        <fgColor rgb="FFFFF8E1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64" fontId="4" fillId="0" borderId="0" xfId="0" applyNumberFormat="1" applyFont="1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0" xfId="0" applyFont="1" applyFill="1"/>
    <xf numFmtId="0" fontId="0" fillId="0" borderId="0" xfId="0" applyAlignment="1">
      <alignment horizontal="center"/>
    </xf>
    <xf numFmtId="164" fontId="0" fillId="0" borderId="0" xfId="0" applyNumberFormat="1"/>
    <xf numFmtId="0" fontId="0" fillId="4" borderId="0" xfId="0" applyFill="1"/>
    <xf numFmtId="0" fontId="5" fillId="0" borderId="0" xfId="0" applyFont="1" applyAlignment="1">
      <alignment horizontal="center"/>
    </xf>
    <xf numFmtId="0" fontId="6" fillId="0" borderId="0" xfId="0" applyFont="1"/>
    <xf numFmtId="0" fontId="3" fillId="0" borderId="0" xfId="0" applyFont="1"/>
    <xf numFmtId="164" fontId="1" fillId="0" borderId="0" xfId="0" applyNumberFormat="1" applyFont="1"/>
    <xf numFmtId="165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SUM(H8:H71)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15</v>
      </c>
      <c r="B9" t="s">
        <v>16</v>
      </c>
      <c r="C9" t="s">
        <v>0</v>
      </c>
      <c r="D9" s="8">
        <v>35</v>
      </c>
      <c r="E9" s="9">
        <v>32.26</v>
      </c>
      <c r="F9" s="8">
        <v>2</v>
      </c>
      <c r="G9" s="10"/>
      <c r="H9" s="9" t="str">
        <f>IF(G9="","",E9*G9)</f>
        <v/>
      </c>
      <c r="I9" s="11" t="str">
        <f>HYPERLINK("https://optomposuda.ru/product/mylnica-pm-stil-m514-altern","открыть")</f>
        <v>открыть</v>
      </c>
    </row>
    <row r="10" spans="1:9" x14ac:dyDescent="0.25">
      <c r="A10" t="s">
        <v>17</v>
      </c>
      <c r="B10" t="s">
        <v>18</v>
      </c>
      <c r="C10" t="s">
        <v>0</v>
      </c>
      <c r="D10" s="8">
        <v>30</v>
      </c>
      <c r="E10" s="9">
        <v>36.56</v>
      </c>
      <c r="F10" s="8">
        <v>26</v>
      </c>
      <c r="G10" s="10"/>
      <c r="H10" s="9" t="str">
        <f>IF(G10="","",E10*G10)</f>
        <v/>
      </c>
      <c r="I10" s="11" t="str">
        <f>HYPERLINK("https://optomposuda.ru/product/myshelovka-pryamoug-srednyaya-m5680-altern","открыть")</f>
        <v>открыть</v>
      </c>
    </row>
    <row r="11" spans="1:9" x14ac:dyDescent="0.25">
      <c r="A11" t="s">
        <v>19</v>
      </c>
      <c r="B11" t="s">
        <v>20</v>
      </c>
      <c r="C11" t="s">
        <v>0</v>
      </c>
      <c r="D11" s="8">
        <v>8</v>
      </c>
      <c r="E11" s="9">
        <v>350.79</v>
      </c>
      <c r="F11" s="8">
        <v>30</v>
      </c>
      <c r="G11" s="10"/>
      <c r="H11" s="9" t="str">
        <f>IF(G11="","",E11*G11)</f>
        <v/>
      </c>
      <c r="I11" s="11" t="str">
        <f>HYPERLINK("https://optomposuda.ru/product/sidene-detskoe-dlya-kupaniya-rozovyy-m6067-altern","открыть")</f>
        <v>открыть</v>
      </c>
    </row>
    <row r="12" spans="1:9" x14ac:dyDescent="0.25">
      <c r="A12" s="7" t="s">
        <v>21</v>
      </c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t="s">
        <v>22</v>
      </c>
      <c r="B13" t="s">
        <v>23</v>
      </c>
      <c r="C13" t="s">
        <v>0</v>
      </c>
      <c r="D13" s="8">
        <v>12</v>
      </c>
      <c r="E13" s="9">
        <v>55.08</v>
      </c>
      <c r="F13" s="8">
        <v>1</v>
      </c>
      <c r="G13" s="10"/>
      <c r="H13" s="9" t="str">
        <f>IF(G13="","",E13*G13)</f>
        <v/>
      </c>
      <c r="I13" s="11" t="str">
        <f>HYPERLINK("https://optomposuda.ru/product/emkost-pm-2-0l-s-ruchkoy-pet-m897-altern","открыть")</f>
        <v>открыть</v>
      </c>
    </row>
    <row r="14" spans="1:9" x14ac:dyDescent="0.25">
      <c r="A14" t="s">
        <v>24</v>
      </c>
      <c r="B14" t="s">
        <v>25</v>
      </c>
      <c r="C14" t="s">
        <v>0</v>
      </c>
      <c r="D14" s="8">
        <v>24</v>
      </c>
      <c r="E14" s="9">
        <v>149.48</v>
      </c>
      <c r="F14" s="8">
        <v>116</v>
      </c>
      <c r="G14" s="10"/>
      <c r="H14" s="9" t="str">
        <f>IF(G14="","",E14*G14)</f>
        <v/>
      </c>
      <c r="I14" s="11" t="str">
        <f>HYPERLINK("https://optomposuda.ru/product/podstavka-pod-stolovye-pribory-serdce-belyy-m6252-altern","открыть")</f>
        <v>открыть</v>
      </c>
    </row>
    <row r="15" spans="1:9" x14ac:dyDescent="0.25">
      <c r="A15" t="s">
        <v>26</v>
      </c>
      <c r="B15" t="s">
        <v>27</v>
      </c>
      <c r="C15" t="s">
        <v>0</v>
      </c>
      <c r="D15" s="8">
        <v>20</v>
      </c>
      <c r="E15" s="9">
        <v>94.19</v>
      </c>
      <c r="F15" s="8">
        <v>1</v>
      </c>
      <c r="G15" s="10"/>
      <c r="H15" s="9" t="str">
        <f>IF(G15="","",E15*G15)</f>
        <v/>
      </c>
      <c r="I15" s="11" t="str">
        <f>HYPERLINK("https://optomposuda.ru/product/sito-ekonom-290-250-60-mm-m6612-altern","открыть")</f>
        <v>открыть</v>
      </c>
    </row>
    <row r="16" spans="1:9" x14ac:dyDescent="0.25">
      <c r="A16" t="s">
        <v>28</v>
      </c>
      <c r="B16" t="s">
        <v>29</v>
      </c>
      <c r="C16" t="s">
        <v>0</v>
      </c>
      <c r="D16" s="8">
        <v>25</v>
      </c>
      <c r="E16" s="9">
        <v>86.41</v>
      </c>
      <c r="F16" s="8">
        <v>14</v>
      </c>
      <c r="G16" s="10"/>
      <c r="H16" s="9" t="str">
        <f>IF(G16="","",E16*G16)</f>
        <v/>
      </c>
      <c r="I16" s="11" t="str">
        <f>HYPERLINK("https://optomposuda.ru/product/forma-dlya-lepki-pelmeney-diametr-270-mm-m5553-altern","открыть")</f>
        <v>открыть</v>
      </c>
    </row>
    <row r="17" spans="1:9" x14ac:dyDescent="0.25">
      <c r="A17" s="7" t="s">
        <v>30</v>
      </c>
      <c r="B17" s="7"/>
      <c r="C17" s="7"/>
      <c r="D17" s="7"/>
      <c r="E17" s="7"/>
      <c r="F17" s="7"/>
      <c r="G17" s="7"/>
      <c r="H17" s="7"/>
      <c r="I17" s="7"/>
    </row>
    <row r="18" spans="1:9" x14ac:dyDescent="0.25">
      <c r="A18" t="s">
        <v>31</v>
      </c>
      <c r="B18" t="s">
        <v>32</v>
      </c>
      <c r="C18" t="s">
        <v>0</v>
      </c>
      <c r="D18" s="8">
        <v>1</v>
      </c>
      <c r="E18" s="9">
        <v>9254.04</v>
      </c>
      <c r="F18" s="8">
        <v>2</v>
      </c>
      <c r="G18" s="10"/>
      <c r="H18" s="9" t="str">
        <f>IF(G18="","",E18*G18)</f>
        <v/>
      </c>
      <c r="I18" s="11" t="str">
        <f>HYPERLINK("https://optomposuda.ru/product/divan-rotang-plyus-3-h-mestnyy-belyy-bez-podushki-up-1","открыть")</f>
        <v>открыть</v>
      </c>
    </row>
    <row r="19" spans="1:9" x14ac:dyDescent="0.25">
      <c r="A19" t="s">
        <v>33</v>
      </c>
      <c r="B19" t="s">
        <v>34</v>
      </c>
      <c r="C19" t="s">
        <v>0</v>
      </c>
      <c r="D19" s="8">
        <v>1</v>
      </c>
      <c r="E19" s="9">
        <v>9915.96</v>
      </c>
      <c r="F19" s="8">
        <v>3</v>
      </c>
      <c r="G19" s="10"/>
      <c r="H19" s="9" t="str">
        <f>IF(G19="","",E19*G19)</f>
        <v/>
      </c>
      <c r="I19" s="11" t="str">
        <f>HYPERLINK("https://optomposuda.ru/product/nabor-iz-2-uh-kresel-rotang-plyus-belyy-bez-podushki-up-1","открыть")</f>
        <v>открыть</v>
      </c>
    </row>
    <row r="20" spans="1:9" x14ac:dyDescent="0.25">
      <c r="A20" t="s">
        <v>35</v>
      </c>
      <c r="B20" t="s">
        <v>36</v>
      </c>
      <c r="C20" t="s">
        <v>0</v>
      </c>
      <c r="D20" s="8">
        <v>1</v>
      </c>
      <c r="E20" s="9">
        <v>3189.65</v>
      </c>
      <c r="F20" s="8">
        <v>4</v>
      </c>
      <c r="G20" s="10"/>
      <c r="H20" s="9" t="str">
        <f>IF(G20="","",E20*G20)</f>
        <v/>
      </c>
      <c r="I20" s="11" t="str">
        <f>HYPERLINK("https://optomposuda.ru/product/stol-rotang-plyus-940h940h740mm-belyy-up-1","открыть")</f>
        <v>открыть</v>
      </c>
    </row>
    <row r="21" spans="1:9" x14ac:dyDescent="0.25">
      <c r="A21" t="s">
        <v>37</v>
      </c>
      <c r="B21" t="s">
        <v>38</v>
      </c>
      <c r="C21" t="s">
        <v>0</v>
      </c>
      <c r="D21" s="8">
        <v>1</v>
      </c>
      <c r="E21" s="9">
        <v>731.26</v>
      </c>
      <c r="F21" s="8">
        <v>1</v>
      </c>
      <c r="G21" s="10"/>
      <c r="H21" s="9" t="str">
        <f>IF(G21="","",E21*G21)</f>
        <v/>
      </c>
      <c r="I21" s="11" t="str">
        <f>HYPERLINK("https://optomposuda.ru/product/etazherka-pm-3-h-sekcion-pletenka-1-bezhevyy-m2547-altern","открыть")</f>
        <v>открыть</v>
      </c>
    </row>
    <row r="22" spans="1:9" x14ac:dyDescent="0.25">
      <c r="A22" t="s">
        <v>39</v>
      </c>
      <c r="B22" t="s">
        <v>40</v>
      </c>
      <c r="C22" t="s">
        <v>0</v>
      </c>
      <c r="D22" s="8">
        <v>1</v>
      </c>
      <c r="E22" s="9">
        <v>1017.77</v>
      </c>
      <c r="F22" s="8">
        <v>1</v>
      </c>
      <c r="G22" s="10"/>
      <c r="H22" s="9" t="str">
        <f>IF(G22="","",E22*G22)</f>
        <v/>
      </c>
      <c r="I22" s="11" t="str">
        <f>HYPERLINK("https://optomposuda.ru/product/etazherka-pm-dlya-obuvi-4-h-sekcion-bashmachki-m2512-altern","открыть")</f>
        <v>открыть</v>
      </c>
    </row>
    <row r="23" spans="1:9" x14ac:dyDescent="0.25">
      <c r="A23" s="7" t="s">
        <v>41</v>
      </c>
      <c r="B23" s="7"/>
      <c r="C23" s="7"/>
      <c r="D23" s="7"/>
      <c r="E23" s="7"/>
      <c r="F23" s="7"/>
      <c r="G23" s="7"/>
      <c r="H23" s="7"/>
      <c r="I23" s="7"/>
    </row>
    <row r="24" spans="1:9" x14ac:dyDescent="0.25">
      <c r="A24" t="s">
        <v>42</v>
      </c>
      <c r="B24" t="s">
        <v>43</v>
      </c>
      <c r="C24" t="s">
        <v>0</v>
      </c>
      <c r="D24" s="8">
        <v>4</v>
      </c>
      <c r="E24" s="9">
        <v>250.54</v>
      </c>
      <c r="F24" s="8">
        <v>4</v>
      </c>
      <c r="G24" s="10"/>
      <c r="H24" s="9" t="str">
        <f>IF(G24="","",E24*G24)</f>
        <v/>
      </c>
      <c r="I24" s="11" t="str">
        <f>HYPERLINK("https://optomposuda.ru/product/kanistra-bochka-30l-pryamoug-diam-gorl-215mm-m453-altern","открыть")</f>
        <v>открыть</v>
      </c>
    </row>
    <row r="25" spans="1:9" x14ac:dyDescent="0.25">
      <c r="A25" t="s">
        <v>44</v>
      </c>
      <c r="B25" t="s">
        <v>45</v>
      </c>
      <c r="C25" t="s">
        <v>0</v>
      </c>
      <c r="D25" s="8">
        <v>1</v>
      </c>
      <c r="E25" s="9">
        <v>495.73</v>
      </c>
      <c r="F25" s="8">
        <v>38</v>
      </c>
      <c r="G25" s="10"/>
      <c r="H25" s="9" t="str">
        <f>IF(G25="","",E25*G25)</f>
        <v/>
      </c>
      <c r="I25" s="11" t="str">
        <f>HYPERLINK("https://optomposuda.ru/product/kashpo-napolnoe-rotang-220h220h410mm-mokko-up-7","открыть")</f>
        <v>открыть</v>
      </c>
    </row>
    <row r="26" spans="1:9" x14ac:dyDescent="0.25">
      <c r="A26" t="s">
        <v>46</v>
      </c>
      <c r="B26" t="s">
        <v>47</v>
      </c>
      <c r="C26" t="s">
        <v>0</v>
      </c>
      <c r="D26" s="8">
        <v>1</v>
      </c>
      <c r="E26" s="9">
        <v>525.76</v>
      </c>
      <c r="F26" s="8">
        <v>31</v>
      </c>
      <c r="G26" s="10"/>
      <c r="H26" s="9" t="str">
        <f>IF(G26="","",E26*G26)</f>
        <v/>
      </c>
      <c r="I26" s="11" t="str">
        <f>HYPERLINK("https://optomposuda.ru/product/kashpo-napolnoe-rotang-230h220h415mm-so-vstavkoy-mokko-up-5","открыть")</f>
        <v>открыть</v>
      </c>
    </row>
    <row r="27" spans="1:9" x14ac:dyDescent="0.25">
      <c r="A27" t="s">
        <v>48</v>
      </c>
      <c r="B27" t="s">
        <v>49</v>
      </c>
      <c r="C27" t="s">
        <v>0</v>
      </c>
      <c r="D27" s="8">
        <v>1</v>
      </c>
      <c r="E27" s="9">
        <v>848.71</v>
      </c>
      <c r="F27" s="8">
        <v>42</v>
      </c>
      <c r="G27" s="10"/>
      <c r="H27" s="9" t="str">
        <f>IF(G27="","",E27*G27)</f>
        <v/>
      </c>
      <c r="I27" s="11" t="str">
        <f>HYPERLINK("https://optomposuda.ru/product/kashpo-napolnoe-rotang-270h270h510mm-mokko-up-7","открыть")</f>
        <v>открыть</v>
      </c>
    </row>
    <row r="28" spans="1:9" x14ac:dyDescent="0.25">
      <c r="A28" t="s">
        <v>50</v>
      </c>
      <c r="B28" t="s">
        <v>51</v>
      </c>
      <c r="C28" t="s">
        <v>0</v>
      </c>
      <c r="D28" s="8">
        <v>1</v>
      </c>
      <c r="E28" s="9">
        <v>901.33</v>
      </c>
      <c r="F28" s="8">
        <v>17</v>
      </c>
      <c r="G28" s="10"/>
      <c r="H28" s="9" t="str">
        <f>IF(G28="","",E28*G28)</f>
        <v/>
      </c>
      <c r="I28" s="11" t="str">
        <f>HYPERLINK("https://optomposuda.ru/product/kashpo-napolnoe-rotang-285h270h515mm-so-vstavkoy-mokko-up-5","открыть")</f>
        <v>открыть</v>
      </c>
    </row>
    <row r="29" spans="1:9" x14ac:dyDescent="0.25">
      <c r="A29" t="s">
        <v>52</v>
      </c>
      <c r="B29" t="s">
        <v>53</v>
      </c>
      <c r="C29" t="s">
        <v>0</v>
      </c>
      <c r="D29" s="8">
        <v>1</v>
      </c>
      <c r="E29" s="9">
        <v>968.96</v>
      </c>
      <c r="F29" s="8">
        <v>38</v>
      </c>
      <c r="G29" s="10"/>
      <c r="H29" s="9" t="str">
        <f>IF(G29="","",E29*G29)</f>
        <v/>
      </c>
      <c r="I29" s="11" t="str">
        <f>HYPERLINK("https://optomposuda.ru/product/kashpo-napolnoe-rotang-325h325h610mm-mokko-up-5","открыть")</f>
        <v>открыть</v>
      </c>
    </row>
    <row r="30" spans="1:9" x14ac:dyDescent="0.25">
      <c r="A30" t="s">
        <v>54</v>
      </c>
      <c r="B30" t="s">
        <v>55</v>
      </c>
      <c r="C30" t="s">
        <v>0</v>
      </c>
      <c r="D30" s="8">
        <v>1</v>
      </c>
      <c r="E30" s="9">
        <v>1284.5</v>
      </c>
      <c r="F30" s="8">
        <v>27</v>
      </c>
      <c r="G30" s="10"/>
      <c r="H30" s="9" t="str">
        <f>IF(G30="","",E30*G30)</f>
        <v/>
      </c>
      <c r="I30" s="11" t="str">
        <f>HYPERLINK("https://optomposuda.ru/product/kashpo-napolnoe-rotang-340h320h615mm-so-vstavkoy-mokko-up-3","открыть")</f>
        <v>открыть</v>
      </c>
    </row>
    <row r="31" spans="1:9" x14ac:dyDescent="0.25">
      <c r="A31" t="s">
        <v>56</v>
      </c>
      <c r="B31" t="s">
        <v>57</v>
      </c>
      <c r="C31" t="s">
        <v>0</v>
      </c>
      <c r="D31" s="8">
        <v>5</v>
      </c>
      <c r="E31" s="9">
        <v>290.85</v>
      </c>
      <c r="F31" s="8">
        <v>25</v>
      </c>
      <c r="G31" s="10"/>
      <c r="H31" s="9" t="str">
        <f>IF(G31="","",E31*G31)</f>
        <v/>
      </c>
      <c r="I31" s="11" t="str">
        <f>HYPERLINK("https://optomposuda.ru/product/ograzhdenie-pm-podsolnuhi-450-300-6sht-m534-altern","открыть")</f>
        <v>открыть</v>
      </c>
    </row>
    <row r="32" spans="1:9" x14ac:dyDescent="0.25">
      <c r="A32" t="s">
        <v>58</v>
      </c>
      <c r="B32" t="s">
        <v>59</v>
      </c>
      <c r="C32" t="s">
        <v>0</v>
      </c>
      <c r="D32" s="8">
        <v>5</v>
      </c>
      <c r="E32" s="9">
        <v>406.21</v>
      </c>
      <c r="F32" s="8">
        <v>87</v>
      </c>
      <c r="G32" s="10"/>
      <c r="H32" s="9" t="str">
        <f>IF(G32="","",E32*G32)</f>
        <v/>
      </c>
      <c r="I32" s="11" t="str">
        <f>HYPERLINK("https://optomposuda.ru/product/ograzhdenie-pm-reshetka-450h360-6sht-m375-altern","открыть")</f>
        <v>открыть</v>
      </c>
    </row>
    <row r="33" spans="1:9" x14ac:dyDescent="0.25">
      <c r="A33" t="s">
        <v>60</v>
      </c>
      <c r="B33" t="s">
        <v>61</v>
      </c>
      <c r="C33" t="s">
        <v>0</v>
      </c>
      <c r="D33" s="8">
        <v>5</v>
      </c>
      <c r="E33" s="9">
        <v>334.63</v>
      </c>
      <c r="F33" s="8">
        <v>59</v>
      </c>
      <c r="G33" s="10"/>
      <c r="H33" s="9" t="str">
        <f>IF(G33="","",E33*G33)</f>
        <v/>
      </c>
      <c r="I33" s="11" t="str">
        <f>HYPERLINK("https://optomposuda.ru/product/ograzhdenie-pm-cvetnik-1-620-290-6sht-m613-altern","открыть")</f>
        <v>открыть</v>
      </c>
    </row>
    <row r="34" spans="1:9" x14ac:dyDescent="0.25">
      <c r="A34" t="s">
        <v>62</v>
      </c>
      <c r="B34" t="s">
        <v>63</v>
      </c>
      <c r="C34" t="s">
        <v>0</v>
      </c>
      <c r="D34" s="8">
        <v>5</v>
      </c>
      <c r="E34" s="9">
        <v>329.24</v>
      </c>
      <c r="F34" s="8">
        <v>3</v>
      </c>
      <c r="G34" s="10"/>
      <c r="H34" s="9" t="str">
        <f>IF(G34="","",E34*G34)</f>
        <v/>
      </c>
      <c r="I34" s="11" t="str">
        <f>HYPERLINK("https://optomposuda.ru/product/ograzhdenie-pm-cvetnik-2-620-920-6sht-m615-altern","открыть")</f>
        <v>открыть</v>
      </c>
    </row>
    <row r="35" spans="1:9" x14ac:dyDescent="0.25">
      <c r="A35" t="s">
        <v>64</v>
      </c>
      <c r="B35" t="s">
        <v>65</v>
      </c>
      <c r="C35" t="s">
        <v>0</v>
      </c>
      <c r="D35" s="8">
        <v>4</v>
      </c>
      <c r="E35" s="9">
        <v>379</v>
      </c>
      <c r="F35" s="8">
        <v>1</v>
      </c>
      <c r="G35" s="10"/>
      <c r="H35" s="9" t="str">
        <f>IF(G35="","",E35*G35)</f>
        <v/>
      </c>
      <c r="I35" s="11" t="str">
        <f>HYPERLINK("https://optomposuda.ru/product/tualet-pm-dachnyy-korichnevyy-m1295-altern","открыть")</f>
        <v>открыть</v>
      </c>
    </row>
    <row r="36" spans="1:9" x14ac:dyDescent="0.25">
      <c r="A36" t="s">
        <v>66</v>
      </c>
      <c r="B36" t="s">
        <v>67</v>
      </c>
      <c r="C36" t="s">
        <v>0</v>
      </c>
      <c r="D36" s="8">
        <v>10</v>
      </c>
      <c r="E36" s="9">
        <v>134.61</v>
      </c>
      <c r="F36" s="8">
        <v>21</v>
      </c>
      <c r="G36" s="10"/>
      <c r="H36" s="9" t="str">
        <f>IF(G36="","",E36*G36)</f>
        <v/>
      </c>
      <c r="I36" s="11" t="str">
        <f>HYPERLINK("https://optomposuda.ru/product/umyvalnik-rukomoynik-pm-3l-dachnik-m1157-altern","открыть")</f>
        <v>открыть</v>
      </c>
    </row>
    <row r="37" spans="1:9" x14ac:dyDescent="0.25">
      <c r="A37" t="s">
        <v>68</v>
      </c>
      <c r="B37" t="s">
        <v>69</v>
      </c>
      <c r="C37" t="s">
        <v>0</v>
      </c>
      <c r="D37" s="8">
        <v>10</v>
      </c>
      <c r="E37" s="9">
        <v>136.69</v>
      </c>
      <c r="F37" s="8">
        <v>106</v>
      </c>
      <c r="G37" s="10"/>
      <c r="H37" s="9" t="str">
        <f>IF(G37="","",E37*G37)</f>
        <v/>
      </c>
      <c r="I37" s="11" t="str">
        <f>HYPERLINK("https://optomposuda.ru/product/umyvalnik-rukomoynik-pm-3l-m080-altern","открыть")</f>
        <v>открыть</v>
      </c>
    </row>
    <row r="38" spans="1:9" x14ac:dyDescent="0.25">
      <c r="A38" t="s">
        <v>70</v>
      </c>
      <c r="B38" t="s">
        <v>71</v>
      </c>
      <c r="C38" t="s">
        <v>0</v>
      </c>
      <c r="D38" s="8">
        <v>10</v>
      </c>
      <c r="E38" s="9">
        <v>230.29</v>
      </c>
      <c r="F38" s="8">
        <v>59</v>
      </c>
      <c r="G38" s="10"/>
      <c r="H38" s="9" t="str">
        <f>IF(G38="","",E38*G38)</f>
        <v/>
      </c>
      <c r="I38" s="11" t="str">
        <f>HYPERLINK("https://optomposuda.ru/product/umyvalnik-rukomoynik-pm-5l-m367-altern","открыть")</f>
        <v>открыть</v>
      </c>
    </row>
    <row r="39" spans="1:9" x14ac:dyDescent="0.25">
      <c r="A39" t="s">
        <v>72</v>
      </c>
      <c r="B39" t="s">
        <v>73</v>
      </c>
      <c r="C39" t="s">
        <v>0</v>
      </c>
      <c r="D39" s="8">
        <v>6</v>
      </c>
      <c r="E39" s="9">
        <v>284.4</v>
      </c>
      <c r="F39" s="8">
        <v>15</v>
      </c>
      <c r="G39" s="10"/>
      <c r="H39" s="9" t="str">
        <f>IF(G39="","",E39*G39)</f>
        <v/>
      </c>
      <c r="I39" s="11" t="str">
        <f>HYPERLINK("https://optomposuda.ru/product/umyvalnik-rukomoynik-pm-universalnyy-9l-m331-altern","открыть")</f>
        <v>открыть</v>
      </c>
    </row>
    <row r="40" spans="1:9" x14ac:dyDescent="0.25">
      <c r="A40" s="7" t="s">
        <v>74</v>
      </c>
      <c r="B40" s="7"/>
      <c r="C40" s="7"/>
      <c r="D40" s="7"/>
      <c r="E40" s="7"/>
      <c r="F40" s="7"/>
      <c r="G40" s="7"/>
      <c r="H40" s="7"/>
      <c r="I40" s="7"/>
    </row>
    <row r="41" spans="1:9" x14ac:dyDescent="0.25">
      <c r="A41" t="s">
        <v>75</v>
      </c>
      <c r="B41" t="s">
        <v>76</v>
      </c>
      <c r="C41" t="s">
        <v>0</v>
      </c>
      <c r="D41" s="8">
        <v>15</v>
      </c>
      <c r="E41" s="9">
        <v>58.58</v>
      </c>
      <c r="F41" s="8">
        <v>1</v>
      </c>
      <c r="G41" s="10"/>
      <c r="H41" s="9" t="str">
        <f>IF(G41="","",E41*G41)</f>
        <v/>
      </c>
      <c r="I41" s="11" t="str">
        <f>HYPERLINK("https://optomposuda.ru/product/kuvshin-pm-so-slivom-2-5l-m166-altern","открыть")</f>
        <v>открыть</v>
      </c>
    </row>
    <row r="42" spans="1:9" x14ac:dyDescent="0.25">
      <c r="A42" t="s">
        <v>77</v>
      </c>
      <c r="B42" t="s">
        <v>78</v>
      </c>
      <c r="C42" t="s">
        <v>0</v>
      </c>
      <c r="D42" s="8">
        <v>36</v>
      </c>
      <c r="E42" s="9">
        <v>47.26</v>
      </c>
      <c r="F42" s="8">
        <v>147</v>
      </c>
      <c r="G42" s="10"/>
      <c r="H42" s="9" t="str">
        <f>IF(G42="","",E42*G42)</f>
        <v/>
      </c>
      <c r="I42" s="11" t="str">
        <f>HYPERLINK("https://optomposuda.ru/product/salfetnica-bristol-persik-svetlo-zheltyy-m6160-altern","открыть")</f>
        <v>открыть</v>
      </c>
    </row>
    <row r="43" spans="1:9" x14ac:dyDescent="0.25">
      <c r="A43" t="s">
        <v>79</v>
      </c>
      <c r="B43" t="s">
        <v>80</v>
      </c>
      <c r="C43" t="s">
        <v>0</v>
      </c>
      <c r="D43" s="8">
        <v>36</v>
      </c>
      <c r="E43" s="9">
        <v>47.26</v>
      </c>
      <c r="F43" s="8">
        <v>25</v>
      </c>
      <c r="G43" s="10"/>
      <c r="H43" s="9" t="str">
        <f>IF(G43="","",E43*G43)</f>
        <v/>
      </c>
      <c r="I43" s="11" t="str">
        <f>HYPERLINK("https://optomposuda.ru/product/salfetnica-bristol-belyy-m6159-altern","открыть")</f>
        <v>открыть</v>
      </c>
    </row>
    <row r="44" spans="1:9" x14ac:dyDescent="0.25">
      <c r="A44" t="s">
        <v>81</v>
      </c>
      <c r="B44" t="s">
        <v>82</v>
      </c>
      <c r="C44" t="s">
        <v>0</v>
      </c>
      <c r="D44" s="8">
        <v>54</v>
      </c>
      <c r="E44" s="9">
        <v>26.46</v>
      </c>
      <c r="F44" s="8">
        <v>21</v>
      </c>
      <c r="G44" s="10"/>
      <c r="H44" s="9" t="str">
        <f>IF(G44="","",E44*G44)</f>
        <v/>
      </c>
      <c r="I44" s="11" t="str">
        <f>HYPERLINK("https://optomposuda.ru/product/solonka-goroshek-55-45-85-mm-belo-goluboy-m7247-altern","открыть")</f>
        <v>открыть</v>
      </c>
    </row>
    <row r="45" spans="1:9" x14ac:dyDescent="0.25">
      <c r="A45" t="s">
        <v>83</v>
      </c>
      <c r="B45" t="s">
        <v>84</v>
      </c>
      <c r="C45" t="s">
        <v>0</v>
      </c>
      <c r="D45" s="8">
        <v>54</v>
      </c>
      <c r="E45" s="9">
        <v>25.01</v>
      </c>
      <c r="F45" s="8">
        <v>2</v>
      </c>
      <c r="G45" s="10"/>
      <c r="H45" s="9" t="str">
        <f>IF(G45="","",E45*G45)</f>
        <v/>
      </c>
      <c r="I45" s="11" t="str">
        <f>HYPERLINK("https://optomposuda.ru/product/solonka-goroshek-55-45-85-mm-belo-siniy-m3814-altern","открыть")</f>
        <v>открыть</v>
      </c>
    </row>
    <row r="46" spans="1:9" x14ac:dyDescent="0.25">
      <c r="A46" s="7" t="s">
        <v>85</v>
      </c>
      <c r="B46" s="7"/>
      <c r="C46" s="7"/>
      <c r="D46" s="7"/>
      <c r="E46" s="7"/>
      <c r="F46" s="7"/>
      <c r="G46" s="7"/>
      <c r="H46" s="7"/>
      <c r="I46" s="7"/>
    </row>
    <row r="47" spans="1:9" x14ac:dyDescent="0.25">
      <c r="A47" t="s">
        <v>86</v>
      </c>
      <c r="B47" t="s">
        <v>87</v>
      </c>
      <c r="C47" t="s">
        <v>0</v>
      </c>
      <c r="D47" s="8">
        <v>5</v>
      </c>
      <c r="E47" s="9">
        <v>1077.64</v>
      </c>
      <c r="F47" s="8">
        <v>2</v>
      </c>
      <c r="G47" s="10"/>
      <c r="H47" s="9" t="str">
        <f>IF(G47="","",E47*G47)</f>
        <v/>
      </c>
      <c r="I47" s="11" t="str">
        <f>HYPERLINK("https://optomposuda.ru/product/bak-60l-s-kryshkoy-m457-altern","открыть")</f>
        <v>открыть</v>
      </c>
    </row>
    <row r="48" spans="1:9" x14ac:dyDescent="0.25">
      <c r="A48" t="s">
        <v>88</v>
      </c>
      <c r="B48" t="s">
        <v>89</v>
      </c>
      <c r="C48" t="s">
        <v>0</v>
      </c>
      <c r="D48" s="8">
        <v>12</v>
      </c>
      <c r="E48" s="9">
        <v>55.73</v>
      </c>
      <c r="F48" s="8">
        <v>10</v>
      </c>
      <c r="G48" s="10"/>
      <c r="H48" s="9" t="str">
        <f>IF(G48="","",E48*G48)</f>
        <v/>
      </c>
      <c r="I48" s="11" t="str">
        <f>HYPERLINK("https://optomposuda.ru/product/bidon-2-0l-pet-m461-130h130h235-mm-altern","открыть")</f>
        <v>открыть</v>
      </c>
    </row>
    <row r="49" spans="1:9" x14ac:dyDescent="0.25">
      <c r="A49" t="s">
        <v>90</v>
      </c>
      <c r="B49" t="s">
        <v>91</v>
      </c>
      <c r="C49" t="s">
        <v>0</v>
      </c>
      <c r="D49" s="8">
        <v>3</v>
      </c>
      <c r="E49" s="9">
        <v>2306.72</v>
      </c>
      <c r="F49" s="8">
        <v>6</v>
      </c>
      <c r="G49" s="10"/>
      <c r="H49" s="9" t="str">
        <f>IF(G49="","",E49*G49)</f>
        <v/>
      </c>
      <c r="I49" s="11" t="str">
        <f>HYPERLINK("https://optomposuda.ru/product/bochka-bak-200l-kruglaya-s-kryshkoy-700-700-1000-mm-m1625-altern","открыть")</f>
        <v>открыть</v>
      </c>
    </row>
    <row r="50" spans="1:9" x14ac:dyDescent="0.25">
      <c r="A50" t="s">
        <v>92</v>
      </c>
      <c r="B50" t="s">
        <v>93</v>
      </c>
      <c r="C50" t="s">
        <v>0</v>
      </c>
      <c r="D50" s="8">
        <v>3</v>
      </c>
      <c r="E50" s="9">
        <v>2827.14</v>
      </c>
      <c r="F50" s="8">
        <v>18</v>
      </c>
      <c r="G50" s="10"/>
      <c r="H50" s="9" t="str">
        <f>IF(G50="","",E50*G50)</f>
        <v/>
      </c>
      <c r="I50" s="11" t="str">
        <f>HYPERLINK("https://optomposuda.ru/product/bochka-bak-250l-kvadratnaya-s-kryshkoy-700-700-1000-mm-m1626-altern","открыть")</f>
        <v>открыть</v>
      </c>
    </row>
    <row r="51" spans="1:9" x14ac:dyDescent="0.25">
      <c r="A51" t="s">
        <v>94</v>
      </c>
      <c r="B51" t="s">
        <v>95</v>
      </c>
      <c r="C51" t="s">
        <v>0</v>
      </c>
      <c r="D51" s="8">
        <v>3</v>
      </c>
      <c r="E51" s="9">
        <v>3487.26</v>
      </c>
      <c r="F51" s="8">
        <v>13</v>
      </c>
      <c r="G51" s="10"/>
      <c r="H51" s="9" t="str">
        <f>IF(G51="","",E51*G51)</f>
        <v/>
      </c>
      <c r="I51" s="11" t="str">
        <f>HYPERLINK("https://optomposuda.ru/product/bochka-bak-300l-kvadratnaya-s-kryshkoy-690-690-1010-mm-m3047-altern","открыть")</f>
        <v>открыть</v>
      </c>
    </row>
    <row r="52" spans="1:9" x14ac:dyDescent="0.25">
      <c r="A52" t="s">
        <v>96</v>
      </c>
      <c r="B52" t="s">
        <v>97</v>
      </c>
      <c r="C52" t="s">
        <v>0</v>
      </c>
      <c r="D52" s="8">
        <v>3</v>
      </c>
      <c r="E52" s="9">
        <v>3731.35</v>
      </c>
      <c r="F52" s="8">
        <v>16</v>
      </c>
      <c r="G52" s="10"/>
      <c r="H52" s="9" t="str">
        <f>IF(G52="","",E52*G52)</f>
        <v/>
      </c>
      <c r="I52" s="11" t="str">
        <f>HYPERLINK("https://optomposuda.ru/product/bochka-bak-350l-kvadratnaya-s-kryshkoy-695-695-1060-mm-m7439-altern","открыть")</f>
        <v>открыть</v>
      </c>
    </row>
    <row r="53" spans="1:9" x14ac:dyDescent="0.25">
      <c r="A53" t="s">
        <v>98</v>
      </c>
      <c r="B53" t="s">
        <v>99</v>
      </c>
      <c r="C53" t="s">
        <v>0</v>
      </c>
      <c r="D53" s="8">
        <v>10</v>
      </c>
      <c r="E53" s="9">
        <v>174.02</v>
      </c>
      <c r="F53" s="8">
        <v>1</v>
      </c>
      <c r="G53" s="10"/>
      <c r="H53" s="9" t="str">
        <f>IF(G53="","",E53*G53)</f>
        <v/>
      </c>
      <c r="I53" s="11" t="str">
        <f>HYPERLINK("https://optomposuda.ru/product/vedro-pm-10l-s-krysh-maki-m2454-altern","открыть")</f>
        <v>открыть</v>
      </c>
    </row>
    <row r="54" spans="1:9" x14ac:dyDescent="0.25">
      <c r="A54" t="s">
        <v>100</v>
      </c>
      <c r="B54" t="s">
        <v>101</v>
      </c>
      <c r="C54" t="s">
        <v>0</v>
      </c>
      <c r="D54" s="8">
        <v>6</v>
      </c>
      <c r="E54" s="9">
        <v>237.24</v>
      </c>
      <c r="F54" s="8">
        <v>1</v>
      </c>
      <c r="G54" s="10"/>
      <c r="H54" s="9" t="str">
        <f>IF(G54="","",E54*G54)</f>
        <v/>
      </c>
      <c r="I54" s="11" t="str">
        <f>HYPERLINK("https://optomposuda.ru/product/kanistra-pm-10l-so-slivom-gorl-d-3-7sm-m049-altern","открыть")</f>
        <v>открыть</v>
      </c>
    </row>
    <row r="55" spans="1:9" x14ac:dyDescent="0.25">
      <c r="A55" t="s">
        <v>102</v>
      </c>
      <c r="B55" t="s">
        <v>103</v>
      </c>
      <c r="C55" t="s">
        <v>0</v>
      </c>
      <c r="D55" s="8">
        <v>2</v>
      </c>
      <c r="E55" s="9">
        <v>1832.67</v>
      </c>
      <c r="F55" s="8">
        <v>2</v>
      </c>
      <c r="G55" s="10"/>
      <c r="H55" s="9" t="str">
        <f>IF(G55="","",E55*G55)</f>
        <v/>
      </c>
      <c r="I55" s="11" t="str">
        <f>HYPERLINK("https://optomposuda.ru/product/kanistra-bochka-170l-diam-gorl-215mm-500h500h820-m7411-altern","открыть")</f>
        <v>открыть</v>
      </c>
    </row>
    <row r="56" spans="1:9" x14ac:dyDescent="0.25">
      <c r="A56" t="s">
        <v>104</v>
      </c>
      <c r="B56" t="s">
        <v>105</v>
      </c>
      <c r="C56" t="s">
        <v>0</v>
      </c>
      <c r="D56" s="8">
        <v>4</v>
      </c>
      <c r="E56" s="9">
        <v>745.44</v>
      </c>
      <c r="F56" s="8">
        <v>24</v>
      </c>
      <c r="G56" s="10"/>
      <c r="H56" s="9" t="str">
        <f>IF(G56="","",E56*G56)</f>
        <v/>
      </c>
      <c r="I56" s="11" t="str">
        <f>HYPERLINK("https://optomposuda.ru/product/kanistra-bochka-pm-45l-gorl-d-25sm-m409-altern","открыть")</f>
        <v>открыть</v>
      </c>
    </row>
    <row r="57" spans="1:9" x14ac:dyDescent="0.25">
      <c r="A57" t="s">
        <v>106</v>
      </c>
      <c r="B57" t="s">
        <v>107</v>
      </c>
      <c r="C57" t="s">
        <v>0</v>
      </c>
      <c r="D57" s="8">
        <v>1</v>
      </c>
      <c r="E57" s="9">
        <v>3220.27</v>
      </c>
      <c r="F57" s="8">
        <v>21</v>
      </c>
      <c r="G57" s="10"/>
      <c r="H57" s="9" t="str">
        <f>IF(G57="","",E57*G57)</f>
        <v/>
      </c>
      <c r="I57" s="11" t="str">
        <f>HYPERLINK("https://optomposuda.ru/product/konteyner-univers-120l-na-koles-zel-m4603-altern","открыть")</f>
        <v>открыть</v>
      </c>
    </row>
    <row r="58" spans="1:9" x14ac:dyDescent="0.25">
      <c r="A58" t="s">
        <v>108</v>
      </c>
      <c r="B58" t="s">
        <v>109</v>
      </c>
      <c r="C58" t="s">
        <v>0</v>
      </c>
      <c r="D58" s="8">
        <v>1</v>
      </c>
      <c r="E58" s="9">
        <v>3220.27</v>
      </c>
      <c r="F58" s="8">
        <v>15</v>
      </c>
      <c r="G58" s="10"/>
      <c r="H58" s="9" t="str">
        <f>IF(G58="","",E58*G58)</f>
        <v/>
      </c>
      <c r="I58" s="11" t="str">
        <f>HYPERLINK("https://optomposuda.ru/product/konteyner-univers-120l-na-koles-sin-m4667-altern","открыть")</f>
        <v>открыть</v>
      </c>
    </row>
    <row r="59" spans="1:9" x14ac:dyDescent="0.25">
      <c r="A59" t="s">
        <v>110</v>
      </c>
      <c r="B59" t="s">
        <v>111</v>
      </c>
      <c r="C59" t="s">
        <v>0</v>
      </c>
      <c r="D59" s="8">
        <v>1</v>
      </c>
      <c r="E59" s="9">
        <v>4809.61</v>
      </c>
      <c r="F59" s="8">
        <v>34</v>
      </c>
      <c r="G59" s="10"/>
      <c r="H59" s="9" t="str">
        <f>IF(G59="","",E59*G59)</f>
        <v/>
      </c>
      <c r="I59" s="11" t="str">
        <f>HYPERLINK("https://optomposuda.ru/product/konteyner-univers-240l-na-koles-zel-m5937-altern","открыть")</f>
        <v>открыть</v>
      </c>
    </row>
    <row r="60" spans="1:9" x14ac:dyDescent="0.25">
      <c r="A60" t="s">
        <v>112</v>
      </c>
      <c r="B60" t="s">
        <v>113</v>
      </c>
      <c r="C60" t="s">
        <v>0</v>
      </c>
      <c r="D60" s="8">
        <v>1</v>
      </c>
      <c r="E60" s="9">
        <v>4306.8</v>
      </c>
      <c r="F60" s="8">
        <v>8</v>
      </c>
      <c r="G60" s="10"/>
      <c r="H60" s="9" t="str">
        <f>IF(G60="","",E60*G60)</f>
        <v/>
      </c>
      <c r="I60" s="11" t="str">
        <f>HYPERLINK("https://optomposuda.ru/product/konteyner-univers-240l-na-koles-sin-m5938-altern","открыть")</f>
        <v>открыть</v>
      </c>
    </row>
    <row r="61" spans="1:9" x14ac:dyDescent="0.25">
      <c r="A61" t="s">
        <v>114</v>
      </c>
      <c r="B61" t="s">
        <v>115</v>
      </c>
      <c r="C61" t="s">
        <v>0</v>
      </c>
      <c r="D61" s="8">
        <v>1</v>
      </c>
      <c r="E61" s="9">
        <v>1069.43</v>
      </c>
      <c r="F61" s="8">
        <v>1</v>
      </c>
      <c r="G61" s="10"/>
      <c r="H61" s="9" t="str">
        <f>IF(G61="","",E61*G61)</f>
        <v/>
      </c>
      <c r="I61" s="11" t="str">
        <f>HYPERLINK("https://optomposuda.ru/product/konteyner-univers-65l-na-koles-sin-m4664-altern","открыть")</f>
        <v>открыть</v>
      </c>
    </row>
    <row r="62" spans="1:9" x14ac:dyDescent="0.25">
      <c r="A62" t="s">
        <v>116</v>
      </c>
      <c r="B62" t="s">
        <v>117</v>
      </c>
      <c r="C62" t="s">
        <v>0</v>
      </c>
      <c r="D62" s="8">
        <v>6</v>
      </c>
      <c r="E62" s="9">
        <v>190.12</v>
      </c>
      <c r="F62" s="8">
        <v>31</v>
      </c>
      <c r="G62" s="10"/>
      <c r="H62" s="9" t="str">
        <f>IF(G62="","",E62*G62)</f>
        <v/>
      </c>
      <c r="I62" s="11" t="str">
        <f>HYPERLINK("https://optomposuda.ru/product/leyka-pm-10l-premera-s-rasseivatelem-m1628-altern","открыть")</f>
        <v>открыть</v>
      </c>
    </row>
    <row r="63" spans="1:9" x14ac:dyDescent="0.25">
      <c r="A63" t="s">
        <v>118</v>
      </c>
      <c r="B63" t="s">
        <v>119</v>
      </c>
      <c r="C63" t="s">
        <v>0</v>
      </c>
      <c r="D63" s="8">
        <v>6</v>
      </c>
      <c r="E63" s="9">
        <v>228.07</v>
      </c>
      <c r="F63" s="8">
        <v>58</v>
      </c>
      <c r="G63" s="10"/>
      <c r="H63" s="9" t="str">
        <f>IF(G63="","",E63*G63)</f>
        <v/>
      </c>
      <c r="I63" s="11" t="str">
        <f>HYPERLINK("https://optomposuda.ru/product/leyka-pm-12l-premera-s-rasseivatelem-m6775-altern","открыть")</f>
        <v>открыть</v>
      </c>
    </row>
    <row r="64" spans="1:9" x14ac:dyDescent="0.25">
      <c r="A64" t="s">
        <v>120</v>
      </c>
      <c r="B64" t="s">
        <v>121</v>
      </c>
      <c r="C64" t="s">
        <v>0</v>
      </c>
      <c r="D64" s="8">
        <v>6</v>
      </c>
      <c r="E64" s="9">
        <v>188.52</v>
      </c>
      <c r="F64" s="8">
        <v>177</v>
      </c>
      <c r="G64" s="10"/>
      <c r="H64" s="9" t="str">
        <f>IF(G64="","",E64*G64)</f>
        <v/>
      </c>
      <c r="I64" s="11" t="str">
        <f>HYPERLINK("https://optomposuda.ru/product/leyka-pm-9l-listok-s-rasseivatelem-m874-altern","открыть")</f>
        <v>открыть</v>
      </c>
    </row>
    <row r="65" spans="1:9" x14ac:dyDescent="0.25">
      <c r="A65" t="s">
        <v>122</v>
      </c>
      <c r="B65" t="s">
        <v>123</v>
      </c>
      <c r="C65" t="s">
        <v>0</v>
      </c>
      <c r="D65" s="8">
        <v>10</v>
      </c>
      <c r="E65" s="9">
        <v>132.16</v>
      </c>
      <c r="F65" s="8">
        <v>47</v>
      </c>
      <c r="G65" s="10"/>
      <c r="H65" s="9" t="str">
        <f>IF(G65="","",E65*G65)</f>
        <v/>
      </c>
      <c r="I65" s="11" t="str">
        <f>HYPERLINK("https://optomposuda.ru/product/pylevybivalka-zolushka-600h252h5-m5603-altern","открыть")</f>
        <v>открыть</v>
      </c>
    </row>
    <row r="66" spans="1:9" x14ac:dyDescent="0.25">
      <c r="A66" t="s">
        <v>124</v>
      </c>
      <c r="B66" t="s">
        <v>125</v>
      </c>
      <c r="C66" t="s">
        <v>0</v>
      </c>
      <c r="D66" s="8">
        <v>20</v>
      </c>
      <c r="E66" s="9">
        <v>94.38</v>
      </c>
      <c r="F66" s="8">
        <v>33</v>
      </c>
      <c r="G66" s="10"/>
      <c r="H66" s="9" t="str">
        <f>IF(G66="","",E66*G66)</f>
        <v/>
      </c>
      <c r="I66" s="11" t="str">
        <f>HYPERLINK("https://optomposuda.ru/product/pylevybivalka-pm-605-215-25mm-m178-altern","открыть")</f>
        <v>открыть</v>
      </c>
    </row>
    <row r="67" spans="1:9" x14ac:dyDescent="0.25">
      <c r="A67" t="s">
        <v>126</v>
      </c>
      <c r="B67" t="s">
        <v>127</v>
      </c>
      <c r="C67" t="s">
        <v>0</v>
      </c>
      <c r="D67" s="8">
        <v>5</v>
      </c>
      <c r="E67" s="9">
        <v>462.52</v>
      </c>
      <c r="F67" s="8">
        <v>106</v>
      </c>
      <c r="G67" s="10"/>
      <c r="H67" s="9" t="str">
        <f>IF(G67="","",E67*G67)</f>
        <v/>
      </c>
      <c r="I67" s="11" t="str">
        <f>HYPERLINK("https://optomposuda.ru/product/taz-pm-40l-ovalnyy-m675-altern","открыть")</f>
        <v>открыть</v>
      </c>
    </row>
    <row r="68" spans="1:9" x14ac:dyDescent="0.25">
      <c r="A68" t="s">
        <v>128</v>
      </c>
      <c r="B68" t="s">
        <v>129</v>
      </c>
      <c r="C68" t="s">
        <v>0</v>
      </c>
      <c r="D68" s="8">
        <v>22</v>
      </c>
      <c r="E68" s="9">
        <v>112.02</v>
      </c>
      <c r="F68" s="8">
        <v>1</v>
      </c>
      <c r="G68" s="10"/>
      <c r="H68" s="9" t="str">
        <f>IF(G68="","",E68*G68)</f>
        <v/>
      </c>
      <c r="I68" s="11" t="str">
        <f>HYPERLINK("https://optomposuda.ru/product/shvabra-cherenok-usilennyy-m1040-altern","открыть")</f>
        <v>открыть</v>
      </c>
    </row>
    <row r="69" spans="1:9" x14ac:dyDescent="0.25">
      <c r="A69" t="s">
        <v>130</v>
      </c>
      <c r="B69" t="s">
        <v>131</v>
      </c>
      <c r="C69" t="s">
        <v>0</v>
      </c>
      <c r="D69" s="8">
        <v>20</v>
      </c>
      <c r="E69" s="9">
        <v>281.65</v>
      </c>
      <c r="F69" s="8">
        <v>1</v>
      </c>
      <c r="G69" s="10"/>
      <c r="H69" s="9" t="str">
        <f>IF(G69="","",E69*G69)</f>
        <v/>
      </c>
      <c r="I69" s="11" t="str">
        <f>HYPERLINK("https://optomposuda.ru/product/shvabra-polomoyka-hozyayushka-s-cherenkom-standart-verevochnaya-m2618-altern","открыть")</f>
        <v>открыть</v>
      </c>
    </row>
    <row r="70" spans="1:9" x14ac:dyDescent="0.25">
      <c r="A70" t="s">
        <v>132</v>
      </c>
      <c r="B70" t="s">
        <v>133</v>
      </c>
      <c r="C70" t="s">
        <v>0</v>
      </c>
      <c r="D70" s="8">
        <v>20</v>
      </c>
      <c r="E70" s="9">
        <v>309.95</v>
      </c>
      <c r="F70" s="8">
        <v>7</v>
      </c>
      <c r="G70" s="10"/>
      <c r="H70" s="9" t="str">
        <f>IF(G70="","",E70*G70)</f>
        <v/>
      </c>
      <c r="I70" s="11" t="str">
        <f>HYPERLINK("https://optomposuda.ru/product/shvabra-polomoyka-hozyayushka-s-cherenkom-usilennyy-verevochnyy-m3254-altern","открыть")</f>
        <v>открыть</v>
      </c>
    </row>
    <row r="71" spans="1:9" x14ac:dyDescent="0.25">
      <c r="A71" t="s">
        <v>134</v>
      </c>
      <c r="B71" t="s">
        <v>135</v>
      </c>
      <c r="C71" t="s">
        <v>0</v>
      </c>
      <c r="D71" s="8">
        <v>1</v>
      </c>
      <c r="E71" s="9">
        <v>270.48</v>
      </c>
      <c r="F71" s="8">
        <v>23</v>
      </c>
      <c r="G71" s="10"/>
      <c r="H71" s="9" t="str">
        <f>IF(G71="","",E71*G71)</f>
        <v/>
      </c>
      <c r="I71" s="11" t="str">
        <f>HYPERLINK("https://optomposuda.ru/product/shvabra-polomoyka-hozyayushka-lyuks-s-cher-usil-polot-up-30-m3256","открыть")</f>
        <v>открыть</v>
      </c>
    </row>
  </sheetData>
  <autoFilter ref="A7:I7"/>
  <mergeCells count="10">
    <mergeCell ref="A1:I1"/>
    <mergeCell ref="A2:I2"/>
    <mergeCell ref="A3:I3"/>
    <mergeCell ref="A4:I4"/>
    <mergeCell ref="A8:I8"/>
    <mergeCell ref="A12:I12"/>
    <mergeCell ref="A17:I17"/>
    <mergeCell ref="A23:I23"/>
    <mergeCell ref="A40:I40"/>
    <mergeCell ref="A46:I46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136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SUM(H8:H39)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137</v>
      </c>
      <c r="B9" t="s">
        <v>138</v>
      </c>
      <c r="C9" t="s">
        <v>136</v>
      </c>
      <c r="D9" s="8">
        <v>36</v>
      </c>
      <c r="E9" s="9">
        <v>242.39</v>
      </c>
      <c r="F9" s="8">
        <v>29</v>
      </c>
      <c r="G9" s="10"/>
      <c r="H9" s="9" t="str">
        <f>IF(G9="","",E9*G9)</f>
        <v/>
      </c>
      <c r="I9" s="11" t="str">
        <f>HYPERLINK("https://optomposuda.ru/product/durshlag-2kor-ruchka-24sm-nerzhaveyuschaya-stal18-18-mn-105-24","открыть")</f>
        <v>открыть</v>
      </c>
    </row>
    <row r="10" spans="1:9" x14ac:dyDescent="0.25">
      <c r="A10" t="s">
        <v>139</v>
      </c>
      <c r="B10" t="s">
        <v>140</v>
      </c>
      <c r="C10" t="s">
        <v>136</v>
      </c>
      <c r="D10" s="8">
        <v>36</v>
      </c>
      <c r="E10" s="9">
        <v>290.84</v>
      </c>
      <c r="F10" s="8">
        <v>29</v>
      </c>
      <c r="G10" s="10"/>
      <c r="H10" s="9" t="str">
        <f>IF(G10="","",E10*G10)</f>
        <v/>
      </c>
      <c r="I10" s="11" t="str">
        <f>HYPERLINK("https://optomposuda.ru/product/durshlag-2kor-ruchka-26sm-nerzhaveyuschaya-stal18-18-mn-105-26","открыть")</f>
        <v>открыть</v>
      </c>
    </row>
    <row r="11" spans="1:9" x14ac:dyDescent="0.25">
      <c r="A11" t="s">
        <v>141</v>
      </c>
      <c r="B11" t="s">
        <v>142</v>
      </c>
      <c r="C11" t="s">
        <v>136</v>
      </c>
      <c r="D11" s="8">
        <v>24</v>
      </c>
      <c r="E11" s="9">
        <v>495.59</v>
      </c>
      <c r="F11" s="8">
        <v>164</v>
      </c>
      <c r="G11" s="10"/>
      <c r="H11" s="9" t="str">
        <f>IF(G11="","",E11*G11)</f>
        <v/>
      </c>
      <c r="I11" s="11" t="str">
        <f>HYPERLINK("https://optomposuda.ru/product/nabor-stakanov-pod-stol-prib-10-11-12sm-nerzhaveyuschaya-stal-mn-240","открыть")</f>
        <v>открыть</v>
      </c>
    </row>
    <row r="12" spans="1:9" x14ac:dyDescent="0.25">
      <c r="A12" t="s">
        <v>143</v>
      </c>
      <c r="B12" t="s">
        <v>144</v>
      </c>
      <c r="C12" t="s">
        <v>136</v>
      </c>
      <c r="D12" s="8">
        <v>150</v>
      </c>
      <c r="E12" s="9">
        <v>319.74</v>
      </c>
      <c r="F12" s="8">
        <v>29</v>
      </c>
      <c r="G12" s="10"/>
      <c r="H12" s="9" t="str">
        <f>IF(G12="","",E12*G12)</f>
        <v/>
      </c>
      <c r="I12" s="11" t="str">
        <f>HYPERLINK("https://optomposuda.ru/product/sitechko-s-ruchkoy-18sm-mn-197-a-nerzhaveyuschaya-stalaveyka","открыть")</f>
        <v>открыть</v>
      </c>
    </row>
    <row r="13" spans="1:9" x14ac:dyDescent="0.25">
      <c r="A13" s="7" t="s">
        <v>145</v>
      </c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t="s">
        <v>146</v>
      </c>
      <c r="B14" t="s">
        <v>147</v>
      </c>
      <c r="C14" t="s">
        <v>136</v>
      </c>
      <c r="D14" s="8">
        <v>72</v>
      </c>
      <c r="E14" s="9">
        <v>251.16</v>
      </c>
      <c r="F14" s="8">
        <v>64</v>
      </c>
      <c r="G14" s="10"/>
      <c r="H14" s="9" t="str">
        <f>IF(G14="","",E14*G14)</f>
        <v/>
      </c>
      <c r="I14" s="11" t="str">
        <f>HYPERLINK("https://optomposuda.ru/product/turka-dlya-kofe-350ml-nerzhaveyuschaya-stalav-mn-532-350","открыть")</f>
        <v>открыть</v>
      </c>
    </row>
    <row r="15" spans="1:9" x14ac:dyDescent="0.25">
      <c r="A15" t="s">
        <v>148</v>
      </c>
      <c r="B15" t="s">
        <v>149</v>
      </c>
      <c r="C15" t="s">
        <v>136</v>
      </c>
      <c r="D15" s="8">
        <v>72</v>
      </c>
      <c r="E15" s="9">
        <v>310.26</v>
      </c>
      <c r="F15" s="8">
        <v>61</v>
      </c>
      <c r="G15" s="10"/>
      <c r="H15" s="9" t="str">
        <f>IF(G15="","",E15*G15)</f>
        <v/>
      </c>
      <c r="I15" s="11" t="str">
        <f>HYPERLINK("https://optomposuda.ru/product/turka-dlya-kofe-450ml-nerzhaveyuschaya-stalav-mn-532-450","открыть")</f>
        <v>открыть</v>
      </c>
    </row>
    <row r="16" spans="1:9" x14ac:dyDescent="0.25">
      <c r="A16" t="s">
        <v>150</v>
      </c>
      <c r="B16" t="s">
        <v>151</v>
      </c>
      <c r="C16" t="s">
        <v>136</v>
      </c>
      <c r="D16" s="8">
        <v>72</v>
      </c>
      <c r="E16" s="9">
        <v>342.4</v>
      </c>
      <c r="F16" s="8">
        <v>60</v>
      </c>
      <c r="G16" s="10"/>
      <c r="H16" s="9" t="str">
        <f>IF(G16="","",E16*G16)</f>
        <v/>
      </c>
      <c r="I16" s="11" t="str">
        <f>HYPERLINK("https://optomposuda.ru/product/turka-s-upr-dnom-350ml-nerzhaveyuschaya-stalav-mn-532-s-350","открыть")</f>
        <v>открыть</v>
      </c>
    </row>
    <row r="17" spans="1:9" x14ac:dyDescent="0.25">
      <c r="A17" t="s">
        <v>152</v>
      </c>
      <c r="B17" t="s">
        <v>153</v>
      </c>
      <c r="C17" t="s">
        <v>136</v>
      </c>
      <c r="D17" s="8">
        <v>72</v>
      </c>
      <c r="E17" s="9">
        <v>386.09</v>
      </c>
      <c r="F17" s="8">
        <v>50</v>
      </c>
      <c r="G17" s="10"/>
      <c r="H17" s="9" t="str">
        <f>IF(G17="","",E17*G17)</f>
        <v/>
      </c>
      <c r="I17" s="11" t="str">
        <f>HYPERLINK("https://optomposuda.ru/product/turka-s-upr-dnom-450ml-nerzhaveyuschaya-stalav-mn-532-s-450","открыть")</f>
        <v>открыть</v>
      </c>
    </row>
    <row r="18" spans="1:9" x14ac:dyDescent="0.25">
      <c r="A18" t="s">
        <v>154</v>
      </c>
      <c r="B18" t="s">
        <v>155</v>
      </c>
      <c r="C18" t="s">
        <v>136</v>
      </c>
      <c r="D18" s="8">
        <v>48</v>
      </c>
      <c r="E18" s="9">
        <v>454.43</v>
      </c>
      <c r="F18" s="8">
        <v>37</v>
      </c>
      <c r="G18" s="10"/>
      <c r="H18" s="9" t="str">
        <f>IF(G18="","",E18*G18)</f>
        <v/>
      </c>
      <c r="I18" s="11" t="str">
        <f>HYPERLINK("https://optomposuda.ru/product/turka-s-upr-dnom-650ml-nerzhaveyuschaya-stalav-mn-532-s-650","открыть")</f>
        <v>открыть</v>
      </c>
    </row>
    <row r="19" spans="1:9" x14ac:dyDescent="0.25">
      <c r="A19" s="7" t="s">
        <v>74</v>
      </c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t="s">
        <v>156</v>
      </c>
      <c r="B20" t="s">
        <v>157</v>
      </c>
      <c r="C20" t="s">
        <v>136</v>
      </c>
      <c r="D20" s="8">
        <v>72</v>
      </c>
      <c r="E20" s="9">
        <v>192.95</v>
      </c>
      <c r="F20" s="8">
        <v>272</v>
      </c>
      <c r="G20" s="10"/>
      <c r="H20" s="9" t="str">
        <f>IF(G20="","",E20*G20)</f>
        <v/>
      </c>
      <c r="I20" s="11" t="str">
        <f>HYPERLINK("https://optomposuda.ru/product/kruzhka-11sm-nerzhaveyuschaya-stal-900ml-18-18-mn-188-a-900","открыть")</f>
        <v>открыть</v>
      </c>
    </row>
    <row r="21" spans="1:9" x14ac:dyDescent="0.25">
      <c r="A21" t="s">
        <v>158</v>
      </c>
      <c r="B21" t="s">
        <v>159</v>
      </c>
      <c r="C21" t="s">
        <v>136</v>
      </c>
      <c r="D21" s="8">
        <v>72</v>
      </c>
      <c r="E21" s="9">
        <v>88.11</v>
      </c>
      <c r="F21" s="8">
        <v>275</v>
      </c>
      <c r="G21" s="10"/>
      <c r="H21" s="9" t="str">
        <f>IF(G21="","",E21*G21)</f>
        <v/>
      </c>
      <c r="I21" s="11" t="str">
        <f>HYPERLINK("https://optomposuda.ru/product/kruzhka-7sm-nerzhaveyuschaya-stal-220ml-b-kr-18-18-mn-188-a-250","открыть")</f>
        <v>открыть</v>
      </c>
    </row>
    <row r="22" spans="1:9" x14ac:dyDescent="0.25">
      <c r="A22" t="s">
        <v>160</v>
      </c>
      <c r="B22" t="s">
        <v>161</v>
      </c>
      <c r="C22" t="s">
        <v>136</v>
      </c>
      <c r="D22" s="8">
        <v>72</v>
      </c>
      <c r="E22" s="9">
        <v>123.61</v>
      </c>
      <c r="F22" s="8">
        <v>198</v>
      </c>
      <c r="G22" s="10"/>
      <c r="H22" s="9" t="str">
        <f>IF(G22="","",E22*G22)</f>
        <v/>
      </c>
      <c r="I22" s="11" t="str">
        <f>HYPERLINK("https://optomposuda.ru/product/kruzhka-8sm-nerzhaveyuschaya-stal-330ml-bez-kryshki-18-18-mn-188-a-400","открыть")</f>
        <v>открыть</v>
      </c>
    </row>
    <row r="23" spans="1:9" x14ac:dyDescent="0.25">
      <c r="A23" t="s">
        <v>162</v>
      </c>
      <c r="B23" t="s">
        <v>163</v>
      </c>
      <c r="C23" t="s">
        <v>136</v>
      </c>
      <c r="D23" s="8">
        <v>12</v>
      </c>
      <c r="E23" s="9">
        <v>597.68</v>
      </c>
      <c r="F23" s="8">
        <v>120</v>
      </c>
      <c r="G23" s="10"/>
      <c r="H23" s="9" t="str">
        <f>IF(G23="","",E23*G23)</f>
        <v/>
      </c>
      <c r="I23" s="11" t="str">
        <f>HYPERLINK("https://optomposuda.ru/product/kruzhka-nerzhaveyuschaya-stalav-storozh-dlya-moloka-2l-mn-256","открыть")</f>
        <v>открыть</v>
      </c>
    </row>
    <row r="24" spans="1:9" x14ac:dyDescent="0.25">
      <c r="A24" t="s">
        <v>164</v>
      </c>
      <c r="B24" t="s">
        <v>165</v>
      </c>
      <c r="C24" t="s">
        <v>136</v>
      </c>
      <c r="D24" s="8">
        <v>144</v>
      </c>
      <c r="E24" s="9">
        <v>123.25</v>
      </c>
      <c r="F24" s="8">
        <v>321</v>
      </c>
      <c r="G24" s="10"/>
      <c r="H24" s="9" t="str">
        <f>IF(G24="","",E24*G24)</f>
        <v/>
      </c>
      <c r="I24" s="11" t="str">
        <f>HYPERLINK("https://optomposuda.ru/product/miska-glubokaya-18sm-1000-ml-nerzhaveyuschaya-stal-18-18-mn-434-700","открыть")</f>
        <v>открыть</v>
      </c>
    </row>
    <row r="25" spans="1:9" x14ac:dyDescent="0.25">
      <c r="A25" t="s">
        <v>166</v>
      </c>
      <c r="B25" t="s">
        <v>167</v>
      </c>
      <c r="C25" t="s">
        <v>136</v>
      </c>
      <c r="D25" s="8">
        <v>84</v>
      </c>
      <c r="E25" s="9">
        <v>256.03</v>
      </c>
      <c r="F25" s="8">
        <v>78</v>
      </c>
      <c r="G25" s="10"/>
      <c r="H25" s="9" t="str">
        <f>IF(G25="","",E25*G25)</f>
        <v/>
      </c>
      <c r="I25" s="11" t="str">
        <f>HYPERLINK("https://optomposuda.ru/product/miska-glubokaya-26sm-2-7l-nerzhaveyuschaya-stal-18-18-mn-434-1900","открыть")</f>
        <v>открыть</v>
      </c>
    </row>
    <row r="26" spans="1:9" x14ac:dyDescent="0.25">
      <c r="A26" t="s">
        <v>168</v>
      </c>
      <c r="B26" t="s">
        <v>169</v>
      </c>
      <c r="C26" t="s">
        <v>136</v>
      </c>
      <c r="D26" s="8">
        <v>84</v>
      </c>
      <c r="E26" s="9">
        <v>295.56</v>
      </c>
      <c r="F26" s="8">
        <v>63</v>
      </c>
      <c r="G26" s="10"/>
      <c r="H26" s="9" t="str">
        <f>IF(G26="","",E26*G26)</f>
        <v/>
      </c>
      <c r="I26" s="11" t="str">
        <f>HYPERLINK("https://optomposuda.ru/product/miska-glubokaya-28sm-3-6l-nerzhaveyuschaya-stal-18-18-mn-434-4500","открыть")</f>
        <v>открыть</v>
      </c>
    </row>
    <row r="27" spans="1:9" x14ac:dyDescent="0.25">
      <c r="A27" t="s">
        <v>170</v>
      </c>
      <c r="B27" t="s">
        <v>171</v>
      </c>
      <c r="C27" t="s">
        <v>136</v>
      </c>
      <c r="D27" s="8">
        <v>60</v>
      </c>
      <c r="E27" s="9">
        <v>329.43</v>
      </c>
      <c r="F27" s="8">
        <v>41</v>
      </c>
      <c r="G27" s="10"/>
      <c r="H27" s="9" t="str">
        <f>IF(G27="","",E27*G27)</f>
        <v/>
      </c>
      <c r="I27" s="11" t="str">
        <f>HYPERLINK("https://optomposuda.ru/product/miska-glubokaya-30sm-4-4l-nerzhaveyuschaya-stal-18-18-mn-434-3500","открыть")</f>
        <v>открыть</v>
      </c>
    </row>
    <row r="28" spans="1:9" x14ac:dyDescent="0.25">
      <c r="A28" t="s">
        <v>172</v>
      </c>
      <c r="B28" t="s">
        <v>173</v>
      </c>
      <c r="C28" t="s">
        <v>136</v>
      </c>
      <c r="D28" s="8">
        <v>60</v>
      </c>
      <c r="E28" s="9">
        <v>459.08</v>
      </c>
      <c r="F28" s="8">
        <v>98</v>
      </c>
      <c r="G28" s="10"/>
      <c r="H28" s="9" t="str">
        <f>IF(G28="","",E28*G28)</f>
        <v/>
      </c>
      <c r="I28" s="11" t="str">
        <f>HYPERLINK("https://optomposuda.ru/product/miska-glubokaya-34sm-6l-nerzhaveyuschaya-stal18-18-mn-434-5500","открыть")</f>
        <v>открыть</v>
      </c>
    </row>
    <row r="29" spans="1:9" x14ac:dyDescent="0.25">
      <c r="A29" t="s">
        <v>174</v>
      </c>
      <c r="B29" t="s">
        <v>175</v>
      </c>
      <c r="C29" t="s">
        <v>136</v>
      </c>
      <c r="D29" s="8">
        <v>60</v>
      </c>
      <c r="E29" s="9">
        <v>646.84</v>
      </c>
      <c r="F29" s="8">
        <v>35</v>
      </c>
      <c r="G29" s="10"/>
      <c r="H29" s="9" t="str">
        <f>IF(G29="","",E29*G29)</f>
        <v/>
      </c>
      <c r="I29" s="11" t="str">
        <f>HYPERLINK("https://optomposuda.ru/product/miska-glubokaya-43sm-10l-nerzhaveyuschaya-stal18-18-mn-435-10000","открыть")</f>
        <v>открыть</v>
      </c>
    </row>
    <row r="30" spans="1:9" x14ac:dyDescent="0.25">
      <c r="A30" t="s">
        <v>176</v>
      </c>
      <c r="B30" t="s">
        <v>177</v>
      </c>
      <c r="C30" t="s">
        <v>136</v>
      </c>
      <c r="D30" s="8">
        <v>40</v>
      </c>
      <c r="E30" s="9">
        <v>921</v>
      </c>
      <c r="F30" s="8">
        <v>37</v>
      </c>
      <c r="G30" s="10"/>
      <c r="H30" s="9" t="str">
        <f>IF(G30="","",E30*G30)</f>
        <v/>
      </c>
      <c r="I30" s="11" t="str">
        <f>HYPERLINK("https://optomposuda.ru/product/miska-glubokaya-48sm-13l-nerzhaveyuschaya-stal18-18-mn-435-13000","открыть")</f>
        <v>открыть</v>
      </c>
    </row>
    <row r="31" spans="1:9" x14ac:dyDescent="0.25">
      <c r="A31" t="s">
        <v>178</v>
      </c>
      <c r="B31" t="s">
        <v>179</v>
      </c>
      <c r="C31" t="s">
        <v>136</v>
      </c>
      <c r="D31" s="8">
        <v>48</v>
      </c>
      <c r="E31" s="9">
        <v>1237.36</v>
      </c>
      <c r="F31" s="8">
        <v>38</v>
      </c>
      <c r="G31" s="10"/>
      <c r="H31" s="9" t="str">
        <f>IF(G31="","",E31*G31)</f>
        <v/>
      </c>
      <c r="I31" s="11" t="str">
        <f>HYPERLINK("https://optomposuda.ru/product/miska-glubokaya-53sm-17l-nerzhaveyuschaya-stal18-18-mn-435-17000","открыть")</f>
        <v>открыть</v>
      </c>
    </row>
    <row r="32" spans="1:9" x14ac:dyDescent="0.25">
      <c r="A32" t="s">
        <v>180</v>
      </c>
      <c r="B32" t="s">
        <v>181</v>
      </c>
      <c r="C32" t="s">
        <v>136</v>
      </c>
      <c r="D32" s="8">
        <v>24</v>
      </c>
      <c r="E32" s="9">
        <v>1506.55</v>
      </c>
      <c r="F32" s="8">
        <v>24</v>
      </c>
      <c r="G32" s="10"/>
      <c r="H32" s="9" t="str">
        <f>IF(G32="","",E32*G32)</f>
        <v/>
      </c>
      <c r="I32" s="11" t="str">
        <f>HYPERLINK("https://optomposuda.ru/product/miska-glubokaya-58sm-22l-nerzhaveyuschaya-stal18-18-mn-435-22000","открыть")</f>
        <v>открыть</v>
      </c>
    </row>
    <row r="33" spans="1:9" x14ac:dyDescent="0.25">
      <c r="A33" t="s">
        <v>182</v>
      </c>
      <c r="B33" t="s">
        <v>183</v>
      </c>
      <c r="C33" t="s">
        <v>136</v>
      </c>
      <c r="D33" s="8">
        <v>48</v>
      </c>
      <c r="E33" s="9">
        <v>58.6</v>
      </c>
      <c r="F33" s="8">
        <v>37</v>
      </c>
      <c r="G33" s="10"/>
      <c r="H33" s="9" t="str">
        <f>IF(G33="","",E33*G33)</f>
        <v/>
      </c>
      <c r="I33" s="11" t="str">
        <f>HYPERLINK("https://optomposuda.ru/product/salfetnica-nerzhaveyuschaya-stal17-5-9sm","открыть")</f>
        <v>открыть</v>
      </c>
    </row>
    <row r="34" spans="1:9" x14ac:dyDescent="0.25">
      <c r="A34" s="7" t="s">
        <v>85</v>
      </c>
      <c r="B34" s="7"/>
      <c r="C34" s="7"/>
      <c r="D34" s="7"/>
      <c r="E34" s="7"/>
      <c r="F34" s="7"/>
      <c r="G34" s="7"/>
      <c r="H34" s="7"/>
      <c r="I34" s="7"/>
    </row>
    <row r="35" spans="1:9" x14ac:dyDescent="0.25">
      <c r="A35" t="s">
        <v>184</v>
      </c>
      <c r="B35" t="s">
        <v>185</v>
      </c>
      <c r="C35" t="s">
        <v>136</v>
      </c>
      <c r="D35" s="8">
        <v>12</v>
      </c>
      <c r="E35" s="9">
        <v>1063.98</v>
      </c>
      <c r="F35" s="8">
        <v>89</v>
      </c>
      <c r="G35" s="10"/>
      <c r="H35" s="9" t="str">
        <f>IF(G35="","",E35*G35)</f>
        <v/>
      </c>
      <c r="I35" s="11" t="str">
        <f>HYPERLINK("https://optomposuda.ru/product/vedro-s-kryshkoy-12l-nerzhaveyuschaya-stal-po-faktu-10l-tolsch-0-6mm-18-18-mn-192a-12","открыть")</f>
        <v>открыть</v>
      </c>
    </row>
    <row r="36" spans="1:9" x14ac:dyDescent="0.25">
      <c r="A36" t="s">
        <v>186</v>
      </c>
      <c r="B36" t="s">
        <v>187</v>
      </c>
      <c r="C36" t="s">
        <v>136</v>
      </c>
      <c r="D36" s="8">
        <v>1</v>
      </c>
      <c r="E36" s="9">
        <v>1227.19</v>
      </c>
      <c r="F36" s="8">
        <v>81</v>
      </c>
      <c r="G36" s="10"/>
      <c r="H36" s="9" t="str">
        <f>IF(G36="","",E36*G36)</f>
        <v/>
      </c>
      <c r="I36" s="11" t="str">
        <f>HYPERLINK("https://optomposuda.ru/product/vedro-s-kryshkoy-15l-nerzhaveyuschaya-stal-po-faktu-12l-tolsch-0-6mm-18-18-mn-192-a-15","открыть")</f>
        <v>открыть</v>
      </c>
    </row>
    <row r="37" spans="1:9" x14ac:dyDescent="0.25">
      <c r="A37" t="s">
        <v>188</v>
      </c>
      <c r="B37" t="s">
        <v>189</v>
      </c>
      <c r="C37" t="s">
        <v>136</v>
      </c>
      <c r="D37" s="8">
        <v>1</v>
      </c>
      <c r="E37" s="9">
        <v>1454.33</v>
      </c>
      <c r="F37" s="8">
        <v>36</v>
      </c>
      <c r="G37" s="10"/>
      <c r="H37" s="9" t="str">
        <f>IF(G37="","",E37*G37)</f>
        <v/>
      </c>
      <c r="I37" s="11" t="str">
        <f>HYPERLINK("https://optomposuda.ru/product/vedro-s-kryshkoy-20l-nerzhaveyuschaya-stal-po-faktu-17-5l-tolsch-0-6mm-18-18-mn-192-a-20","открыть")</f>
        <v>открыть</v>
      </c>
    </row>
    <row r="38" spans="1:9" x14ac:dyDescent="0.25">
      <c r="A38" t="s">
        <v>190</v>
      </c>
      <c r="B38" t="s">
        <v>191</v>
      </c>
      <c r="C38" t="s">
        <v>136</v>
      </c>
      <c r="D38" s="8">
        <v>20</v>
      </c>
      <c r="E38" s="9">
        <v>690.88</v>
      </c>
      <c r="F38" s="8">
        <v>17</v>
      </c>
      <c r="G38" s="10"/>
      <c r="H38" s="9" t="str">
        <f>IF(G38="","",E38*G38)</f>
        <v/>
      </c>
      <c r="I38" s="11" t="str">
        <f>HYPERLINK("https://optomposuda.ru/product/vedro-s-kryshkoy-5l-nerzhaveyuschaya-stal-po-faktu-4l-tolsch-0-6mm-18-18-mn-192a-5","открыть")</f>
        <v>открыть</v>
      </c>
    </row>
    <row r="39" spans="1:9" x14ac:dyDescent="0.25">
      <c r="A39" t="s">
        <v>192</v>
      </c>
      <c r="B39" t="s">
        <v>193</v>
      </c>
      <c r="C39" t="s">
        <v>136</v>
      </c>
      <c r="D39" s="8">
        <v>24</v>
      </c>
      <c r="E39" s="9">
        <v>871.86</v>
      </c>
      <c r="F39" s="8">
        <v>81</v>
      </c>
      <c r="G39" s="10"/>
      <c r="H39" s="9" t="str">
        <f>IF(G39="","",E39*G39)</f>
        <v/>
      </c>
      <c r="I39" s="11" t="str">
        <f>HYPERLINK("https://optomposuda.ru/product/vedro-s-kryshkoy-8l-nerzhaveyuschaya-stal-po-faktu-7-l-tolsch-0-6mm-18-18-mn-192-a-8","открыть")</f>
        <v>открыть</v>
      </c>
    </row>
  </sheetData>
  <autoFilter ref="A7:I7"/>
  <mergeCells count="8">
    <mergeCell ref="A1:I1"/>
    <mergeCell ref="A2:I2"/>
    <mergeCell ref="A3:I3"/>
    <mergeCell ref="A4:I4"/>
    <mergeCell ref="A8:I8"/>
    <mergeCell ref="A13:I13"/>
    <mergeCell ref="A19:I19"/>
    <mergeCell ref="A34:I34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194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SUM(H8:H78)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195</v>
      </c>
      <c r="B9" t="s">
        <v>196</v>
      </c>
      <c r="C9" t="s">
        <v>194</v>
      </c>
      <c r="D9" s="8">
        <v>3</v>
      </c>
      <c r="E9" s="9">
        <v>1379.6</v>
      </c>
      <c r="F9" s="8">
        <v>16</v>
      </c>
      <c r="G9" s="10"/>
      <c r="H9" s="9" t="str">
        <f>IF(G9="","",E9*G9)</f>
        <v/>
      </c>
      <c r="I9" s="11" t="str">
        <f>HYPERLINK("https://optomposuda.ru/product/13411-forma-dlya-myasoproduktov-412-412-130mm-alyuminiy","открыть")</f>
        <v>открыть</v>
      </c>
    </row>
    <row r="10" spans="1:9" x14ac:dyDescent="0.25">
      <c r="A10" t="s">
        <v>197</v>
      </c>
      <c r="B10" t="s">
        <v>198</v>
      </c>
      <c r="C10" t="s">
        <v>194</v>
      </c>
      <c r="D10" s="8">
        <v>120</v>
      </c>
      <c r="E10" s="9">
        <v>13.19</v>
      </c>
      <c r="F10" s="8">
        <v>1493</v>
      </c>
      <c r="G10" s="10"/>
      <c r="H10" s="9" t="str">
        <f>IF(G10="","",E10*G10)</f>
        <v/>
      </c>
      <c r="I10" s="11" t="str">
        <f>HYPERLINK("https://optomposuda.ru/product/schetka-d-mehanicheskaya-s-odnim-valikom-18h6-cveta-v-assortimente","открыть")</f>
        <v>открыть</v>
      </c>
    </row>
    <row r="11" spans="1:9" x14ac:dyDescent="0.25">
      <c r="A11" s="7" t="s">
        <v>199</v>
      </c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t="s">
        <v>200</v>
      </c>
      <c r="B12" t="s">
        <v>201</v>
      </c>
      <c r="C12" t="s">
        <v>194</v>
      </c>
      <c r="D12" s="8">
        <v>8</v>
      </c>
      <c r="E12" s="9">
        <v>735.92</v>
      </c>
      <c r="F12" s="8">
        <v>51</v>
      </c>
      <c r="G12" s="10"/>
      <c r="H12" s="9" t="str">
        <f>IF(G12="","",E12*G12)</f>
        <v/>
      </c>
      <c r="I12" s="11" t="str">
        <f>HYPERLINK("https://optomposuda.ru/product/14425-kastryulya-parovarka-2-5-l-met-kr","открыть")</f>
        <v>открыть</v>
      </c>
    </row>
    <row r="13" spans="1:9" x14ac:dyDescent="0.25">
      <c r="A13" t="s">
        <v>202</v>
      </c>
      <c r="B13" t="s">
        <v>203</v>
      </c>
      <c r="C13" t="s">
        <v>194</v>
      </c>
      <c r="D13" s="8">
        <v>1</v>
      </c>
      <c r="E13" s="9">
        <v>2365.42</v>
      </c>
      <c r="F13" s="8">
        <v>57</v>
      </c>
      <c r="G13" s="10"/>
      <c r="H13" s="9" t="str">
        <f>IF(G13="","",E13*G13)</f>
        <v/>
      </c>
      <c r="I13" s="11" t="str">
        <f>HYPERLINK("https://optomposuda.ru/product/18061-sokovarka-6l","открыть")</f>
        <v>открыть</v>
      </c>
    </row>
    <row r="14" spans="1:9" x14ac:dyDescent="0.25">
      <c r="A14" t="s">
        <v>204</v>
      </c>
      <c r="B14" t="s">
        <v>205</v>
      </c>
      <c r="C14" t="s">
        <v>194</v>
      </c>
      <c r="D14" s="8">
        <v>1</v>
      </c>
      <c r="E14" s="9">
        <v>3034.71</v>
      </c>
      <c r="F14" s="8">
        <v>64</v>
      </c>
      <c r="G14" s="10"/>
      <c r="H14" s="9" t="str">
        <f>IF(G14="","",E14*G14)</f>
        <v/>
      </c>
      <c r="I14" s="11" t="str">
        <f>HYPERLINK("https://optomposuda.ru/product/18062-sokovarka-8-0l","открыть")</f>
        <v>открыть</v>
      </c>
    </row>
    <row r="15" spans="1:9" x14ac:dyDescent="0.25">
      <c r="A15" t="s">
        <v>206</v>
      </c>
      <c r="B15" t="s">
        <v>207</v>
      </c>
      <c r="C15" t="s">
        <v>194</v>
      </c>
      <c r="D15" s="8">
        <v>1</v>
      </c>
      <c r="E15" s="9">
        <v>1283.34</v>
      </c>
      <c r="F15" s="8">
        <v>355</v>
      </c>
      <c r="G15" s="10"/>
      <c r="H15" s="9" t="str">
        <f>IF(G15="","",E15*G15)</f>
        <v/>
      </c>
      <c r="I15" s="11" t="str">
        <f>HYPERLINK("https://optomposuda.ru/product/180635-mantovarka-al-6-0-l-s-3-setkami-v-nov-upakovke-260mm","открыть")</f>
        <v>открыть</v>
      </c>
    </row>
    <row r="16" spans="1:9" x14ac:dyDescent="0.25">
      <c r="A16" t="s">
        <v>208</v>
      </c>
      <c r="B16" t="s">
        <v>209</v>
      </c>
      <c r="C16" t="s">
        <v>194</v>
      </c>
      <c r="D16" s="8">
        <v>1</v>
      </c>
      <c r="E16" s="9">
        <v>1375.1</v>
      </c>
      <c r="F16" s="8">
        <v>339</v>
      </c>
      <c r="G16" s="10"/>
      <c r="H16" s="9" t="str">
        <f>IF(G16="","",E16*G16)</f>
        <v/>
      </c>
      <c r="I16" s="11" t="str">
        <f>HYPERLINK("https://optomposuda.ru/product/180640-manty-kazan-6-0-l-s-4-setkami-3-0-kg-26-sm-1-5mm","открыть")</f>
        <v>открыть</v>
      </c>
    </row>
    <row r="17" spans="1:9" x14ac:dyDescent="0.25">
      <c r="A17" t="s">
        <v>210</v>
      </c>
      <c r="B17" t="s">
        <v>211</v>
      </c>
      <c r="C17" t="s">
        <v>194</v>
      </c>
      <c r="D17" s="8">
        <v>1</v>
      </c>
      <c r="E17" s="9">
        <v>1477.72</v>
      </c>
      <c r="F17" s="8">
        <v>372</v>
      </c>
      <c r="G17" s="10"/>
      <c r="H17" s="9" t="str">
        <f>IF(G17="","",E17*G17)</f>
        <v/>
      </c>
      <c r="I17" s="11" t="str">
        <f>HYPERLINK("https://optomposuda.ru/product/180645-mantovarka-6-0l-s-4-mya-diskami-v-novoy-upakovke-260mm-2-8kg","открыть")</f>
        <v>открыть</v>
      </c>
    </row>
    <row r="18" spans="1:9" x14ac:dyDescent="0.25">
      <c r="A18" t="s">
        <v>212</v>
      </c>
      <c r="B18" t="s">
        <v>213</v>
      </c>
      <c r="C18" t="s">
        <v>194</v>
      </c>
      <c r="D18" s="8">
        <v>1</v>
      </c>
      <c r="E18" s="9">
        <v>2240.98</v>
      </c>
      <c r="F18" s="8">
        <v>87</v>
      </c>
      <c r="G18" s="10"/>
      <c r="H18" s="9" t="str">
        <f>IF(G18="","",E18*G18)</f>
        <v/>
      </c>
      <c r="I18" s="11" t="str">
        <f>HYPERLINK("https://optomposuda.ru/product/18104-mantovarka-10-l-s-4-diskami-3-6-kg-s-novym-uvelichennym-korpusom","открыть")</f>
        <v>открыть</v>
      </c>
    </row>
    <row r="19" spans="1:9" x14ac:dyDescent="0.25">
      <c r="A19" t="s">
        <v>214</v>
      </c>
      <c r="B19" t="s">
        <v>215</v>
      </c>
      <c r="C19" t="s">
        <v>194</v>
      </c>
      <c r="D19" s="8">
        <v>1</v>
      </c>
      <c r="E19" s="9">
        <v>1742.88</v>
      </c>
      <c r="F19" s="8">
        <v>97</v>
      </c>
      <c r="G19" s="10"/>
      <c r="H19" s="9" t="str">
        <f>IF(G19="","",E19*G19)</f>
        <v/>
      </c>
      <c r="I19" s="11" t="str">
        <f>HYPERLINK("https://optomposuda.ru/product/181325-mantovarka-13-l-s-2-mya-setkami-340mm","открыть")</f>
        <v>открыть</v>
      </c>
    </row>
    <row r="20" spans="1:9" x14ac:dyDescent="0.25">
      <c r="A20" t="s">
        <v>216</v>
      </c>
      <c r="B20" t="s">
        <v>217</v>
      </c>
      <c r="C20" t="s">
        <v>194</v>
      </c>
      <c r="D20" s="8">
        <v>1</v>
      </c>
      <c r="E20" s="9">
        <v>2046.62</v>
      </c>
      <c r="F20" s="8">
        <v>192</v>
      </c>
      <c r="G20" s="10"/>
      <c r="H20" s="9" t="str">
        <f>IF(G20="","",E20*G20)</f>
        <v/>
      </c>
      <c r="I20" s="11" t="str">
        <f>HYPERLINK("https://optomposuda.ru/product/18133-mantovarka-13-l-s-3-mya-setkami-340mm","открыть")</f>
        <v>открыть</v>
      </c>
    </row>
    <row r="21" spans="1:9" x14ac:dyDescent="0.25">
      <c r="A21" t="s">
        <v>218</v>
      </c>
      <c r="B21" t="s">
        <v>219</v>
      </c>
      <c r="C21" t="s">
        <v>194</v>
      </c>
      <c r="D21" s="8">
        <v>1</v>
      </c>
      <c r="E21" s="9">
        <v>3180.77</v>
      </c>
      <c r="F21" s="8">
        <v>39</v>
      </c>
      <c r="G21" s="10"/>
      <c r="H21" s="9" t="str">
        <f>IF(G21="","",E21*G21)</f>
        <v/>
      </c>
      <c r="I21" s="11" t="str">
        <f>HYPERLINK("https://optomposuda.ru/product/181345-manty-kazan-s-flancem-13-0-l-s-4-setkami-5-4-kg","открыть")</f>
        <v>открыть</v>
      </c>
    </row>
    <row r="22" spans="1:9" x14ac:dyDescent="0.25">
      <c r="A22" t="s">
        <v>220</v>
      </c>
      <c r="B22" t="s">
        <v>221</v>
      </c>
      <c r="C22" t="s">
        <v>194</v>
      </c>
      <c r="D22" s="8">
        <v>1</v>
      </c>
      <c r="E22" s="9">
        <v>1375.07</v>
      </c>
      <c r="F22" s="8">
        <v>32</v>
      </c>
      <c r="G22" s="10"/>
      <c r="H22" s="9" t="str">
        <f>IF(G22="","",E22*G22)</f>
        <v/>
      </c>
      <c r="I22" s="11" t="str">
        <f>HYPERLINK("https://optomposuda.ru/product/18453-mantovarka-4-5l-s-3-mya-diskami-2-1kg","открыть")</f>
        <v>открыть</v>
      </c>
    </row>
    <row r="23" spans="1:9" x14ac:dyDescent="0.25">
      <c r="A23" t="s">
        <v>222</v>
      </c>
      <c r="B23" t="s">
        <v>223</v>
      </c>
      <c r="C23" t="s">
        <v>194</v>
      </c>
      <c r="D23" s="8">
        <v>1</v>
      </c>
      <c r="E23" s="9">
        <v>555.92</v>
      </c>
      <c r="F23" s="8">
        <v>3</v>
      </c>
      <c r="G23" s="10"/>
      <c r="H23" s="9" t="str">
        <f>IF(G23="","",E23*G23)</f>
        <v/>
      </c>
      <c r="I23" s="11" t="str">
        <f>HYPERLINK("https://optomposuda.ru/product/19008-sokosbornik-sokovarki-6-0l","открыть")</f>
        <v>открыть</v>
      </c>
    </row>
    <row r="24" spans="1:9" x14ac:dyDescent="0.25">
      <c r="A24" t="s">
        <v>224</v>
      </c>
      <c r="B24" t="s">
        <v>225</v>
      </c>
      <c r="C24" t="s">
        <v>194</v>
      </c>
      <c r="D24" s="8">
        <v>10</v>
      </c>
      <c r="E24" s="9">
        <v>290.24</v>
      </c>
      <c r="F24" s="8">
        <v>134</v>
      </c>
      <c r="G24" s="10"/>
      <c r="H24" s="9" t="str">
        <f>IF(G24="","",E24*G24)</f>
        <v/>
      </c>
      <c r="I24" s="11" t="str">
        <f>HYPERLINK("https://optomposuda.ru/product/19026-setka-k-mantovarke-6-0-l","открыть")</f>
        <v>открыть</v>
      </c>
    </row>
    <row r="25" spans="1:9" x14ac:dyDescent="0.25">
      <c r="A25" t="s">
        <v>226</v>
      </c>
      <c r="B25" t="s">
        <v>227</v>
      </c>
      <c r="C25" t="s">
        <v>194</v>
      </c>
      <c r="D25" s="8">
        <v>10</v>
      </c>
      <c r="E25" s="9">
        <v>466.62</v>
      </c>
      <c r="F25" s="8">
        <v>141</v>
      </c>
      <c r="G25" s="10"/>
      <c r="H25" s="9" t="str">
        <f>IF(G25="","",E25*G25)</f>
        <v/>
      </c>
      <c r="I25" s="11" t="str">
        <f>HYPERLINK("https://optomposuda.ru/product/19034-setka-k-mantovarke-13-0-l","открыть")</f>
        <v>открыть</v>
      </c>
    </row>
    <row r="26" spans="1:9" x14ac:dyDescent="0.25">
      <c r="A26" t="s">
        <v>228</v>
      </c>
      <c r="B26" t="s">
        <v>229</v>
      </c>
      <c r="C26" t="s">
        <v>194</v>
      </c>
      <c r="D26" s="8">
        <v>10</v>
      </c>
      <c r="E26" s="9">
        <v>338.59</v>
      </c>
      <c r="F26" s="8">
        <v>193</v>
      </c>
      <c r="G26" s="10"/>
      <c r="H26" s="9" t="str">
        <f>IF(G26="","",E26*G26)</f>
        <v/>
      </c>
      <c r="I26" s="11" t="str">
        <f>HYPERLINK("https://optomposuda.ru/product/taz-laguna-24-l-pryamougolnyy-cveta-v-assort","открыть")</f>
        <v>открыть</v>
      </c>
    </row>
    <row r="27" spans="1:9" x14ac:dyDescent="0.25">
      <c r="A27" s="7" t="s">
        <v>145</v>
      </c>
      <c r="B27" s="7"/>
      <c r="C27" s="7"/>
      <c r="D27" s="7"/>
      <c r="E27" s="7"/>
      <c r="F27" s="7"/>
      <c r="G27" s="7"/>
      <c r="H27" s="7"/>
      <c r="I27" s="7"/>
    </row>
    <row r="28" spans="1:9" x14ac:dyDescent="0.25">
      <c r="A28" t="s">
        <v>230</v>
      </c>
      <c r="B28" t="s">
        <v>231</v>
      </c>
      <c r="C28" t="s">
        <v>194</v>
      </c>
      <c r="D28" s="8">
        <v>12</v>
      </c>
      <c r="E28" s="9">
        <v>368.28</v>
      </c>
      <c r="F28" s="8">
        <v>124</v>
      </c>
      <c r="G28" s="10"/>
      <c r="H28" s="9" t="str">
        <f>IF(G28="","",E28*G28)</f>
        <v/>
      </c>
      <c r="I28" s="11" t="str">
        <f>HYPERLINK("https://optomposuda.ru/product/1017-kastryulya-1-7l-2-m-ruchka-met-kr","открыть")</f>
        <v>открыть</v>
      </c>
    </row>
    <row r="29" spans="1:9" x14ac:dyDescent="0.25">
      <c r="A29" t="s">
        <v>232</v>
      </c>
      <c r="B29" t="s">
        <v>233</v>
      </c>
      <c r="C29" t="s">
        <v>194</v>
      </c>
      <c r="D29" s="8">
        <v>12</v>
      </c>
      <c r="E29" s="9">
        <v>437.34</v>
      </c>
      <c r="F29" s="8">
        <v>157</v>
      </c>
      <c r="G29" s="10"/>
      <c r="H29" s="9" t="str">
        <f>IF(G29="","",E29*G29)</f>
        <v/>
      </c>
      <c r="I29" s="11" t="str">
        <f>HYPERLINK("https://optomposuda.ru/product/1025-kastryulya-2-5l-2m-ruchka-met-kr","открыть")</f>
        <v>открыть</v>
      </c>
    </row>
    <row r="30" spans="1:9" x14ac:dyDescent="0.25">
      <c r="A30" t="s">
        <v>234</v>
      </c>
      <c r="B30" t="s">
        <v>235</v>
      </c>
      <c r="C30" t="s">
        <v>194</v>
      </c>
      <c r="D30" s="8">
        <v>12</v>
      </c>
      <c r="E30" s="9">
        <v>488.65</v>
      </c>
      <c r="F30" s="8">
        <v>46</v>
      </c>
      <c r="G30" s="10"/>
      <c r="H30" s="9" t="str">
        <f>IF(G30="","",E30*G30)</f>
        <v/>
      </c>
      <c r="I30" s="11" t="str">
        <f>HYPERLINK("https://optomposuda.ru/product/1030-kastryulya-al-3-0-l-2m-ruchka-met-kr","открыть")</f>
        <v>открыть</v>
      </c>
    </row>
    <row r="31" spans="1:9" x14ac:dyDescent="0.25">
      <c r="A31" t="s">
        <v>236</v>
      </c>
      <c r="B31" t="s">
        <v>237</v>
      </c>
      <c r="C31" t="s">
        <v>194</v>
      </c>
      <c r="D31" s="8">
        <v>12</v>
      </c>
      <c r="E31" s="9">
        <v>586.79</v>
      </c>
      <c r="F31" s="8">
        <v>85</v>
      </c>
      <c r="G31" s="10"/>
      <c r="H31" s="9" t="str">
        <f>IF(G31="","",E31*G31)</f>
        <v/>
      </c>
      <c r="I31" s="11" t="str">
        <f>HYPERLINK("https://optomposuda.ru/product/1045-kastryulya-al-4-5l-2-m-ruchka-met-kr","открыть")</f>
        <v>открыть</v>
      </c>
    </row>
    <row r="32" spans="1:9" x14ac:dyDescent="0.25">
      <c r="A32" t="s">
        <v>238</v>
      </c>
      <c r="B32" t="s">
        <v>239</v>
      </c>
      <c r="C32" t="s">
        <v>194</v>
      </c>
      <c r="D32" s="8">
        <v>6</v>
      </c>
      <c r="E32" s="9">
        <v>774.21</v>
      </c>
      <c r="F32" s="8">
        <v>111</v>
      </c>
      <c r="G32" s="10"/>
      <c r="H32" s="9" t="str">
        <f>IF(G32="","",E32*G32)</f>
        <v/>
      </c>
      <c r="I32" s="11" t="str">
        <f>HYPERLINK("https://optomposuda.ru/product/1060-kastryulya-al-6l-2-m-ruchka-met-kr","открыть")</f>
        <v>открыть</v>
      </c>
    </row>
    <row r="33" spans="1:9" x14ac:dyDescent="0.25">
      <c r="A33" t="s">
        <v>240</v>
      </c>
      <c r="B33" t="s">
        <v>241</v>
      </c>
      <c r="C33" t="s">
        <v>194</v>
      </c>
      <c r="D33" s="8">
        <v>4</v>
      </c>
      <c r="E33" s="9">
        <v>882.45</v>
      </c>
      <c r="F33" s="8">
        <v>126</v>
      </c>
      <c r="G33" s="10"/>
      <c r="H33" s="9" t="str">
        <f>IF(G33="","",E33*G33)</f>
        <v/>
      </c>
      <c r="I33" s="11" t="str">
        <f>HYPERLINK("https://optomposuda.ru/product/1080-kastryulya-al-8l-2m-ruchka-met-kr","открыть")</f>
        <v>открыть</v>
      </c>
    </row>
    <row r="34" spans="1:9" x14ac:dyDescent="0.25">
      <c r="A34" t="s">
        <v>242</v>
      </c>
      <c r="B34" t="s">
        <v>243</v>
      </c>
      <c r="C34" t="s">
        <v>194</v>
      </c>
      <c r="D34" s="8">
        <v>4</v>
      </c>
      <c r="E34" s="9">
        <v>1078.21</v>
      </c>
      <c r="F34" s="8">
        <v>15</v>
      </c>
      <c r="G34" s="10"/>
      <c r="H34" s="9" t="str">
        <f>IF(G34="","",E34*G34)</f>
        <v/>
      </c>
      <c r="I34" s="11" t="str">
        <f>HYPERLINK("https://optomposuda.ru/product/1100-kastryulya-al-10-l-2m-ruchka-met-kr","открыть")</f>
        <v>открыть</v>
      </c>
    </row>
    <row r="35" spans="1:9" x14ac:dyDescent="0.25">
      <c r="A35" t="s">
        <v>244</v>
      </c>
      <c r="B35" t="s">
        <v>245</v>
      </c>
      <c r="C35" t="s">
        <v>194</v>
      </c>
      <c r="D35" s="8">
        <v>4</v>
      </c>
      <c r="E35" s="9">
        <v>1257.7</v>
      </c>
      <c r="F35" s="8">
        <v>66</v>
      </c>
      <c r="G35" s="10"/>
      <c r="H35" s="9" t="str">
        <f>IF(G35="","",E35*G35)</f>
        <v/>
      </c>
      <c r="I35" s="11" t="str">
        <f>HYPERLINK("https://optomposuda.ru/product/1130-kastryulya-al-13l-2m-ruchka-met-kr","открыть")</f>
        <v>открыть</v>
      </c>
    </row>
    <row r="36" spans="1:9" x14ac:dyDescent="0.25">
      <c r="A36" t="s">
        <v>246</v>
      </c>
      <c r="B36" t="s">
        <v>247</v>
      </c>
      <c r="C36" t="s">
        <v>194</v>
      </c>
      <c r="D36" s="8">
        <v>4</v>
      </c>
      <c r="E36" s="9">
        <v>1304.11</v>
      </c>
      <c r="F36" s="8">
        <v>64</v>
      </c>
      <c r="G36" s="10"/>
      <c r="H36" s="9" t="str">
        <f>IF(G36="","",E36*G36)</f>
        <v/>
      </c>
      <c r="I36" s="11" t="str">
        <f>HYPERLINK("https://optomposuda.ru/product/1150-kastryulya-15l-2m-ruchka-met-kr","открыть")</f>
        <v>открыть</v>
      </c>
    </row>
    <row r="37" spans="1:9" x14ac:dyDescent="0.25">
      <c r="A37" t="s">
        <v>248</v>
      </c>
      <c r="B37" t="s">
        <v>249</v>
      </c>
      <c r="C37" t="s">
        <v>194</v>
      </c>
      <c r="D37" s="8">
        <v>4</v>
      </c>
      <c r="E37" s="9">
        <v>337.03</v>
      </c>
      <c r="F37" s="8">
        <v>58</v>
      </c>
      <c r="G37" s="10"/>
      <c r="H37" s="9" t="str">
        <f>IF(G37="","",E37*G37)</f>
        <v/>
      </c>
      <c r="I37" s="11" t="str">
        <f>HYPERLINK("https://optomposuda.ru/product/14018-kastryulya-al-1-8-l-1m-ruchka-met-kr","открыть")</f>
        <v>открыть</v>
      </c>
    </row>
    <row r="38" spans="1:9" x14ac:dyDescent="0.25">
      <c r="A38" t="s">
        <v>250</v>
      </c>
      <c r="B38" t="s">
        <v>251</v>
      </c>
      <c r="C38" t="s">
        <v>194</v>
      </c>
      <c r="D38" s="8">
        <v>12</v>
      </c>
      <c r="E38" s="9">
        <v>359.17</v>
      </c>
      <c r="F38" s="8">
        <v>23</v>
      </c>
      <c r="G38" s="10"/>
      <c r="H38" s="9" t="str">
        <f>IF(G38="","",E38*G38)</f>
        <v/>
      </c>
      <c r="I38" s="11" t="str">
        <f>HYPERLINK("https://optomposuda.ru/product/14025-kastryulya-al-2-5-l-2m-ruchka-met-kr","открыть")</f>
        <v>открыть</v>
      </c>
    </row>
    <row r="39" spans="1:9" x14ac:dyDescent="0.25">
      <c r="A39" t="s">
        <v>252</v>
      </c>
      <c r="B39" t="s">
        <v>253</v>
      </c>
      <c r="C39" t="s">
        <v>194</v>
      </c>
      <c r="D39" s="8">
        <v>12</v>
      </c>
      <c r="E39" s="9">
        <v>502.25</v>
      </c>
      <c r="F39" s="8">
        <v>35</v>
      </c>
      <c r="G39" s="10"/>
      <c r="H39" s="9" t="str">
        <f>IF(G39="","",E39*G39)</f>
        <v/>
      </c>
      <c r="I39" s="11" t="str">
        <f>HYPERLINK("https://optomposuda.ru/product/14035-2414035-kastryulya-al-3-5-l-2-m-ruchka-met-kr","открыть")</f>
        <v>открыть</v>
      </c>
    </row>
    <row r="40" spans="1:9" x14ac:dyDescent="0.25">
      <c r="A40" t="s">
        <v>254</v>
      </c>
      <c r="B40" t="s">
        <v>255</v>
      </c>
      <c r="C40" t="s">
        <v>194</v>
      </c>
      <c r="D40" s="8">
        <v>12</v>
      </c>
      <c r="E40" s="9">
        <v>573.74</v>
      </c>
      <c r="F40" s="8">
        <v>28</v>
      </c>
      <c r="G40" s="10"/>
      <c r="H40" s="9" t="str">
        <f>IF(G40="","",E40*G40)</f>
        <v/>
      </c>
      <c r="I40" s="11" t="str">
        <f>HYPERLINK("https://optomposuda.ru/product/14045-kastryulya-al-4-5-l-2m-ruchka-met-kr","открыть")</f>
        <v>открыть</v>
      </c>
    </row>
    <row r="41" spans="1:9" x14ac:dyDescent="0.25">
      <c r="A41" t="s">
        <v>256</v>
      </c>
      <c r="B41" t="s">
        <v>257</v>
      </c>
      <c r="C41" t="s">
        <v>194</v>
      </c>
      <c r="D41" s="8">
        <v>6</v>
      </c>
      <c r="E41" s="9">
        <v>709.87</v>
      </c>
      <c r="F41" s="8">
        <v>22</v>
      </c>
      <c r="G41" s="10"/>
      <c r="H41" s="9" t="str">
        <f>IF(G41="","",E41*G41)</f>
        <v/>
      </c>
      <c r="I41" s="11" t="str">
        <f>HYPERLINK("https://optomposuda.ru/product/14060-kastryulya-al-6-l-2m-ruchka-met-kr","открыть")</f>
        <v>открыть</v>
      </c>
    </row>
    <row r="42" spans="1:9" x14ac:dyDescent="0.25">
      <c r="A42" t="s">
        <v>258</v>
      </c>
      <c r="B42" t="s">
        <v>259</v>
      </c>
      <c r="C42" t="s">
        <v>194</v>
      </c>
      <c r="D42" s="8">
        <v>4</v>
      </c>
      <c r="E42" s="9">
        <v>856.54</v>
      </c>
      <c r="F42" s="8">
        <v>40</v>
      </c>
      <c r="G42" s="10"/>
      <c r="H42" s="9" t="str">
        <f>IF(G42="","",E42*G42)</f>
        <v/>
      </c>
      <c r="I42" s="11" t="str">
        <f>HYPERLINK("https://optomposuda.ru/product/14080-kastryulya-al-8l-2m-ruchka-met-kr","открыть")</f>
        <v>открыть</v>
      </c>
    </row>
    <row r="43" spans="1:9" x14ac:dyDescent="0.25">
      <c r="A43" t="s">
        <v>260</v>
      </c>
      <c r="B43" t="s">
        <v>261</v>
      </c>
      <c r="C43" t="s">
        <v>194</v>
      </c>
      <c r="D43" s="8">
        <v>4</v>
      </c>
      <c r="E43" s="9">
        <v>955.82</v>
      </c>
      <c r="F43" s="8">
        <v>10</v>
      </c>
      <c r="G43" s="10"/>
      <c r="H43" s="9" t="str">
        <f>IF(G43="","",E43*G43)</f>
        <v/>
      </c>
      <c r="I43" s="11" t="str">
        <f>HYPERLINK("https://optomposuda.ru/product/14100-kastryulya-al-10-l-2m-ruchka-met-kr","открыть")</f>
        <v>открыть</v>
      </c>
    </row>
    <row r="44" spans="1:9" x14ac:dyDescent="0.25">
      <c r="A44" t="s">
        <v>262</v>
      </c>
      <c r="B44" t="s">
        <v>263</v>
      </c>
      <c r="C44" t="s">
        <v>194</v>
      </c>
      <c r="D44" s="8">
        <v>4</v>
      </c>
      <c r="E44" s="9">
        <v>1300.22</v>
      </c>
      <c r="F44" s="8">
        <v>14</v>
      </c>
      <c r="G44" s="10"/>
      <c r="H44" s="9" t="str">
        <f>IF(G44="","",E44*G44)</f>
        <v/>
      </c>
      <c r="I44" s="11" t="str">
        <f>HYPERLINK("https://optomposuda.ru/product/14150-kastryulya-al-15-l-2m-ruchka-met-kr","открыть")</f>
        <v>открыть</v>
      </c>
    </row>
    <row r="45" spans="1:9" x14ac:dyDescent="0.25">
      <c r="A45" t="s">
        <v>264</v>
      </c>
      <c r="B45" t="s">
        <v>265</v>
      </c>
      <c r="C45" t="s">
        <v>194</v>
      </c>
      <c r="D45" s="8">
        <v>1</v>
      </c>
      <c r="E45" s="9">
        <v>2942.02</v>
      </c>
      <c r="F45" s="8">
        <v>14</v>
      </c>
      <c r="G45" s="10"/>
      <c r="H45" s="9" t="str">
        <f>IF(G45="","",E45*G45)</f>
        <v/>
      </c>
      <c r="I45" s="11" t="str">
        <f>HYPERLINK("https://optomposuda.ru/product/14300-kastryulya-al-30-l-2m-ruchka-met-kr","открыть")</f>
        <v>открыть</v>
      </c>
    </row>
    <row r="46" spans="1:9" x14ac:dyDescent="0.25">
      <c r="A46" t="s">
        <v>266</v>
      </c>
      <c r="B46" t="s">
        <v>267</v>
      </c>
      <c r="C46" t="s">
        <v>194</v>
      </c>
      <c r="D46" s="8">
        <v>50</v>
      </c>
      <c r="E46" s="9">
        <v>43.47</v>
      </c>
      <c r="F46" s="8">
        <v>1</v>
      </c>
      <c r="G46" s="10"/>
      <c r="H46" s="9" t="str">
        <f>IF(G46="","",E46*G46)</f>
        <v/>
      </c>
      <c r="I46" s="11" t="str">
        <f>HYPERLINK("https://optomposuda.ru/product/168-formochki-dlya-keksa-100-shtna-blistere-v-kor","открыть")</f>
        <v>открыть</v>
      </c>
    </row>
    <row r="47" spans="1:9" x14ac:dyDescent="0.25">
      <c r="A47" t="s">
        <v>268</v>
      </c>
      <c r="B47" t="s">
        <v>269</v>
      </c>
      <c r="C47" t="s">
        <v>194</v>
      </c>
      <c r="D47" s="8">
        <v>1</v>
      </c>
      <c r="E47" s="9">
        <v>2954.16</v>
      </c>
      <c r="F47" s="8">
        <v>2</v>
      </c>
      <c r="G47" s="10"/>
      <c r="H47" s="9" t="str">
        <f>IF(G47="","",E47*G47)</f>
        <v/>
      </c>
      <c r="I47" s="11" t="str">
        <f>HYPERLINK("https://optomposuda.ru/product/17202-kotel-20-l-alyum-2m-ruchka-met-kr","открыть")</f>
        <v>открыть</v>
      </c>
    </row>
    <row r="48" spans="1:9" x14ac:dyDescent="0.25">
      <c r="A48" t="s">
        <v>270</v>
      </c>
      <c r="B48" t="s">
        <v>271</v>
      </c>
      <c r="C48" t="s">
        <v>194</v>
      </c>
      <c r="D48" s="8">
        <v>1</v>
      </c>
      <c r="E48" s="9">
        <v>4326.98</v>
      </c>
      <c r="F48" s="8">
        <v>3</v>
      </c>
      <c r="G48" s="10"/>
      <c r="H48" s="9" t="str">
        <f>IF(G48="","",E48*G48)</f>
        <v/>
      </c>
      <c r="I48" s="11" t="str">
        <f>HYPERLINK("https://optomposuda.ru/product/17402-kotel-40-l-alyumin-2m-ruchka-met-kr","открыть")</f>
        <v>открыть</v>
      </c>
    </row>
    <row r="49" spans="1:9" x14ac:dyDescent="0.25">
      <c r="A49" t="s">
        <v>272</v>
      </c>
      <c r="B49" t="s">
        <v>273</v>
      </c>
      <c r="C49" t="s">
        <v>194</v>
      </c>
      <c r="D49" s="8">
        <v>20</v>
      </c>
      <c r="E49" s="9">
        <v>503.54</v>
      </c>
      <c r="F49" s="8">
        <v>36</v>
      </c>
      <c r="G49" s="10"/>
      <c r="H49" s="9" t="str">
        <f>IF(G49="","",E49*G49)</f>
        <v/>
      </c>
      <c r="I49" s="11" t="str">
        <f>HYPERLINK("https://optomposuda.ru/product/19500-kofevarka-al-0-5-l","открыть")</f>
        <v>открыть</v>
      </c>
    </row>
    <row r="50" spans="1:9" x14ac:dyDescent="0.25">
      <c r="A50" t="s">
        <v>274</v>
      </c>
      <c r="B50" t="s">
        <v>275</v>
      </c>
      <c r="C50" t="s">
        <v>194</v>
      </c>
      <c r="D50" s="8">
        <v>20</v>
      </c>
      <c r="E50" s="9">
        <v>517.17</v>
      </c>
      <c r="F50" s="8">
        <v>68</v>
      </c>
      <c r="G50" s="10"/>
      <c r="H50" s="9" t="str">
        <f>IF(G50="","",E50*G50)</f>
        <v/>
      </c>
      <c r="I50" s="11" t="str">
        <f>HYPERLINK("https://optomposuda.ru/product/19800-kofevarka-0-8l","открыть")</f>
        <v>открыть</v>
      </c>
    </row>
    <row r="51" spans="1:9" x14ac:dyDescent="0.25">
      <c r="A51" t="s">
        <v>276</v>
      </c>
      <c r="B51" t="s">
        <v>277</v>
      </c>
      <c r="C51" t="s">
        <v>194</v>
      </c>
      <c r="D51" s="8">
        <v>20</v>
      </c>
      <c r="E51" s="9">
        <v>446.14</v>
      </c>
      <c r="F51" s="8">
        <v>137</v>
      </c>
      <c r="G51" s="10"/>
      <c r="H51" s="9" t="str">
        <f>IF(G51="","",E51*G51)</f>
        <v/>
      </c>
      <c r="I51" s="11" t="str">
        <f>HYPERLINK("https://optomposuda.ru/product/3282-liniya-kulinariya-protiven-284-424-55","открыть")</f>
        <v>открыть</v>
      </c>
    </row>
    <row r="52" spans="1:9" x14ac:dyDescent="0.25">
      <c r="A52" t="s">
        <v>278</v>
      </c>
      <c r="B52" t="s">
        <v>279</v>
      </c>
      <c r="C52" t="s">
        <v>194</v>
      </c>
      <c r="D52" s="8">
        <v>4</v>
      </c>
      <c r="E52" s="9">
        <v>1288.2</v>
      </c>
      <c r="F52" s="8">
        <v>5</v>
      </c>
      <c r="G52" s="10"/>
      <c r="H52" s="9" t="str">
        <f>IF(G52="","",E52*G52)</f>
        <v/>
      </c>
      <c r="I52" s="11" t="str">
        <f>HYPERLINK("https://optomposuda.ru/product/3862635-soteynik-260-mm-2-ruchka-st-kr-antiprigarnoe-pokrytie-black-stone-cvet-vnut-pokr-c","открыть")</f>
        <v>открыть</v>
      </c>
    </row>
    <row r="53" spans="1:9" x14ac:dyDescent="0.25">
      <c r="A53" t="s">
        <v>280</v>
      </c>
      <c r="B53" t="s">
        <v>281</v>
      </c>
      <c r="C53" t="s">
        <v>194</v>
      </c>
      <c r="D53" s="8">
        <v>4</v>
      </c>
      <c r="E53" s="9">
        <v>970.57</v>
      </c>
      <c r="F53" s="8">
        <v>13</v>
      </c>
      <c r="G53" s="10"/>
      <c r="H53" s="9" t="str">
        <f>IF(G53="","",E53*G53)</f>
        <v/>
      </c>
      <c r="I53" s="11" t="str">
        <f>HYPERLINK("https://optomposuda.ru/product/3872435-skovoroda-240-mm-1-ruchka-st-kr-antiprigarnoe-pokrytie-black-stone-cvet-vnut-pokr-","открыть")</f>
        <v>открыть</v>
      </c>
    </row>
    <row r="54" spans="1:9" x14ac:dyDescent="0.25">
      <c r="A54" t="s">
        <v>282</v>
      </c>
      <c r="B54" t="s">
        <v>283</v>
      </c>
      <c r="C54" t="s">
        <v>194</v>
      </c>
      <c r="D54" s="8">
        <v>4</v>
      </c>
      <c r="E54" s="9">
        <v>1140.99</v>
      </c>
      <c r="F54" s="8">
        <v>17</v>
      </c>
      <c r="G54" s="10"/>
      <c r="H54" s="9" t="str">
        <f>IF(G54="","",E54*G54)</f>
        <v/>
      </c>
      <c r="I54" s="11" t="str">
        <f>HYPERLINK("https://optomposuda.ru/product/3872835-skovoroda-280-mm-1-ruchka-st-kr-antiprigarnoe-pokrytie-black-stone-cvet-vnut-pokr-","открыть")</f>
        <v>открыть</v>
      </c>
    </row>
    <row r="55" spans="1:9" x14ac:dyDescent="0.25">
      <c r="A55" t="s">
        <v>284</v>
      </c>
      <c r="B55" t="s">
        <v>285</v>
      </c>
      <c r="C55" t="s">
        <v>194</v>
      </c>
      <c r="D55" s="8">
        <v>20</v>
      </c>
      <c r="E55" s="9">
        <v>218.55</v>
      </c>
      <c r="F55" s="8">
        <v>158</v>
      </c>
      <c r="G55" s="10"/>
      <c r="H55" s="9" t="str">
        <f>IF(G55="","",E55*G55)</f>
        <v/>
      </c>
      <c r="I55" s="11" t="str">
        <f>HYPERLINK("https://optomposuda.ru/product/39671615-skovoroda-160-mm-1-ruchka-b-kr-a-pokr-1-6-mm","открыть")</f>
        <v>открыть</v>
      </c>
    </row>
    <row r="56" spans="1:9" x14ac:dyDescent="0.25">
      <c r="A56" t="s">
        <v>286</v>
      </c>
      <c r="B56" t="s">
        <v>287</v>
      </c>
      <c r="C56" t="s">
        <v>194</v>
      </c>
      <c r="D56" s="8">
        <v>18</v>
      </c>
      <c r="E56" s="9">
        <v>246.3</v>
      </c>
      <c r="F56" s="8">
        <v>132</v>
      </c>
      <c r="G56" s="10"/>
      <c r="H56" s="9" t="str">
        <f>IF(G56="","",E56*G56)</f>
        <v/>
      </c>
      <c r="I56" s="11" t="str">
        <f>HYPERLINK("https://optomposuda.ru/product/39671815-skovoroda-180-mm-1-ruchka-b-kr-a-pokr-1-6-mm","открыть")</f>
        <v>открыть</v>
      </c>
    </row>
    <row r="57" spans="1:9" x14ac:dyDescent="0.25">
      <c r="A57" t="s">
        <v>288</v>
      </c>
      <c r="B57" t="s">
        <v>289</v>
      </c>
      <c r="C57" t="s">
        <v>194</v>
      </c>
      <c r="D57" s="8">
        <v>12</v>
      </c>
      <c r="E57" s="9">
        <v>299.58</v>
      </c>
      <c r="F57" s="8">
        <v>165</v>
      </c>
      <c r="G57" s="10"/>
      <c r="H57" s="9" t="str">
        <f>IF(G57="","",E57*G57)</f>
        <v/>
      </c>
      <c r="I57" s="11" t="str">
        <f>HYPERLINK("https://optomposuda.ru/product/39672015-skovoroda-200-mm-1-ruchka-b-kr-a-pokr-1-6-mm","открыть")</f>
        <v>открыть</v>
      </c>
    </row>
    <row r="58" spans="1:9" x14ac:dyDescent="0.25">
      <c r="A58" t="s">
        <v>290</v>
      </c>
      <c r="B58" t="s">
        <v>291</v>
      </c>
      <c r="C58" t="s">
        <v>194</v>
      </c>
      <c r="D58" s="8">
        <v>8</v>
      </c>
      <c r="E58" s="9">
        <v>329.59</v>
      </c>
      <c r="F58" s="8">
        <v>86</v>
      </c>
      <c r="G58" s="10"/>
      <c r="H58" s="9" t="str">
        <f>IF(G58="","",E58*G58)</f>
        <v/>
      </c>
      <c r="I58" s="11" t="str">
        <f>HYPERLINK("https://optomposuda.ru/product/39672215-skovoroda-220-mm-1-ruchka-b-kr-a-pokr-1-6-mm","открыть")</f>
        <v>открыть</v>
      </c>
    </row>
    <row r="59" spans="1:9" x14ac:dyDescent="0.25">
      <c r="A59" t="s">
        <v>292</v>
      </c>
      <c r="B59" t="s">
        <v>293</v>
      </c>
      <c r="C59" t="s">
        <v>194</v>
      </c>
      <c r="D59" s="8">
        <v>10</v>
      </c>
      <c r="E59" s="9">
        <v>359.39</v>
      </c>
      <c r="F59" s="8">
        <v>130</v>
      </c>
      <c r="G59" s="10"/>
      <c r="H59" s="9" t="str">
        <f>IF(G59="","",E59*G59)</f>
        <v/>
      </c>
      <c r="I59" s="11" t="str">
        <f>HYPERLINK("https://optomposuda.ru/product/39672415-skovoroda-240-mm-1-ruchka-b-kr-a-pokr-1-6-mm","открыть")</f>
        <v>открыть</v>
      </c>
    </row>
    <row r="60" spans="1:9" x14ac:dyDescent="0.25">
      <c r="A60" t="s">
        <v>294</v>
      </c>
      <c r="B60" t="s">
        <v>295</v>
      </c>
      <c r="C60" t="s">
        <v>194</v>
      </c>
      <c r="D60" s="8">
        <v>10</v>
      </c>
      <c r="E60" s="9">
        <v>390.14</v>
      </c>
      <c r="F60" s="8">
        <v>174</v>
      </c>
      <c r="G60" s="10"/>
      <c r="H60" s="9" t="str">
        <f>IF(G60="","",E60*G60)</f>
        <v/>
      </c>
      <c r="I60" s="11" t="str">
        <f>HYPERLINK("https://optomposuda.ru/product/39672615-skovoroda-260-mm-1-ruchka-b-kr-a-pokr-1-6-mm","открыть")</f>
        <v>открыть</v>
      </c>
    </row>
    <row r="61" spans="1:9" x14ac:dyDescent="0.25">
      <c r="A61" t="s">
        <v>296</v>
      </c>
      <c r="B61" t="s">
        <v>297</v>
      </c>
      <c r="C61" t="s">
        <v>194</v>
      </c>
      <c r="D61" s="8">
        <v>5</v>
      </c>
      <c r="E61" s="9">
        <v>803.89</v>
      </c>
      <c r="F61" s="8">
        <v>186</v>
      </c>
      <c r="G61" s="10"/>
      <c r="H61" s="9" t="str">
        <f>IF(G61="","",E61*G61)</f>
        <v/>
      </c>
      <c r="I61" s="11" t="str">
        <f>HYPERLINK("https://optomposuda.ru/product/63034-nabor-protivney-lazanera-19-25-23-30-27-35-2ruch-bez-kryshki","открыть")</f>
        <v>открыть</v>
      </c>
    </row>
    <row r="62" spans="1:9" x14ac:dyDescent="0.25">
      <c r="A62" t="s">
        <v>298</v>
      </c>
      <c r="B62" t="s">
        <v>299</v>
      </c>
      <c r="C62" t="s">
        <v>194</v>
      </c>
      <c r="D62" s="8">
        <v>30</v>
      </c>
      <c r="E62" s="9">
        <v>199.04</v>
      </c>
      <c r="F62" s="8">
        <v>129</v>
      </c>
      <c r="G62" s="10"/>
      <c r="H62" s="9" t="str">
        <f>IF(G62="","",E62*G62)</f>
        <v/>
      </c>
      <c r="I62" s="11" t="str">
        <f>HYPERLINK("https://optomposuda.ru/product/6621414-forma-pashalnaya-ap-140mm-bez-kr-bordo","открыть")</f>
        <v>открыть</v>
      </c>
    </row>
    <row r="63" spans="1:9" x14ac:dyDescent="0.25">
      <c r="A63" t="s">
        <v>300</v>
      </c>
      <c r="B63" t="s">
        <v>301</v>
      </c>
      <c r="C63" t="s">
        <v>194</v>
      </c>
      <c r="D63" s="8">
        <v>20</v>
      </c>
      <c r="E63" s="9">
        <v>214.65</v>
      </c>
      <c r="F63" s="8">
        <v>197</v>
      </c>
      <c r="G63" s="10"/>
      <c r="H63" s="9" t="str">
        <f>IF(G63="","",E63*G63)</f>
        <v/>
      </c>
      <c r="I63" s="11" t="str">
        <f>HYPERLINK("https://optomposuda.ru/product/6621614-forma-pashalnaya-ap-160mm-bez-kr-bordo","открыть")</f>
        <v>открыть</v>
      </c>
    </row>
    <row r="64" spans="1:9" x14ac:dyDescent="0.25">
      <c r="A64" t="s">
        <v>302</v>
      </c>
      <c r="B64" t="s">
        <v>303</v>
      </c>
      <c r="C64" t="s">
        <v>194</v>
      </c>
      <c r="D64" s="8">
        <v>20</v>
      </c>
      <c r="E64" s="9">
        <v>247.13</v>
      </c>
      <c r="F64" s="8">
        <v>157</v>
      </c>
      <c r="G64" s="10"/>
      <c r="H64" s="9" t="str">
        <f>IF(G64="","",E64*G64)</f>
        <v/>
      </c>
      <c r="I64" s="11" t="str">
        <f>HYPERLINK("https://optomposuda.ru/product/6621814-forma-pashalnaya-ap-180mm-bez-kr-bordo","открыть")</f>
        <v>открыть</v>
      </c>
    </row>
    <row r="65" spans="1:9" x14ac:dyDescent="0.25">
      <c r="A65" t="s">
        <v>304</v>
      </c>
      <c r="B65" t="s">
        <v>305</v>
      </c>
      <c r="C65" t="s">
        <v>194</v>
      </c>
      <c r="D65" s="8">
        <v>18</v>
      </c>
      <c r="E65" s="9">
        <v>253.69</v>
      </c>
      <c r="F65" s="8">
        <v>70</v>
      </c>
      <c r="G65" s="10"/>
      <c r="H65" s="9" t="str">
        <f>IF(G65="","",E65*G65)</f>
        <v/>
      </c>
      <c r="I65" s="11" t="str">
        <f>HYPERLINK("https://optomposuda.ru/product/6662214-blinnica-220mm-1ruch-bez-kr-vneshnee-pokrytie-piroskan-bordo","открыть")</f>
        <v>открыть</v>
      </c>
    </row>
    <row r="66" spans="1:9" x14ac:dyDescent="0.25">
      <c r="A66" t="s">
        <v>306</v>
      </c>
      <c r="B66" t="s">
        <v>307</v>
      </c>
      <c r="C66" t="s">
        <v>194</v>
      </c>
      <c r="D66" s="8">
        <v>18</v>
      </c>
      <c r="E66" s="9">
        <v>216.3</v>
      </c>
      <c r="F66" s="8">
        <v>1802</v>
      </c>
      <c r="G66" s="10"/>
      <c r="H66" s="9" t="str">
        <f>IF(G66="","",E66*G66)</f>
        <v/>
      </c>
      <c r="I66" s="11" t="str">
        <f>HYPERLINK("https://optomposuda.ru/product/blinnica-22-sm-antiprigarnoe-pokrytie-bez-kryshki","открыть")</f>
        <v>открыть</v>
      </c>
    </row>
    <row r="67" spans="1:9" x14ac:dyDescent="0.25">
      <c r="A67" t="s">
        <v>308</v>
      </c>
      <c r="B67" t="s">
        <v>309</v>
      </c>
      <c r="C67" t="s">
        <v>194</v>
      </c>
      <c r="D67" s="8">
        <v>6</v>
      </c>
      <c r="E67" s="9">
        <v>635.43</v>
      </c>
      <c r="F67" s="8">
        <v>148</v>
      </c>
      <c r="G67" s="10"/>
      <c r="H67" s="9" t="str">
        <f>IF(G67="","",E67*G67)</f>
        <v/>
      </c>
      <c r="I67" s="11" t="str">
        <f>HYPERLINK("https://optomposuda.ru/product/korzina-dlya-belya-52l-44-5x33-5x55-cm","открыть")</f>
        <v>открыть</v>
      </c>
    </row>
    <row r="68" spans="1:9" x14ac:dyDescent="0.25">
      <c r="A68" t="s">
        <v>310</v>
      </c>
      <c r="B68" t="s">
        <v>311</v>
      </c>
      <c r="C68" t="s">
        <v>194</v>
      </c>
      <c r="D68" s="8">
        <v>10</v>
      </c>
      <c r="E68" s="9">
        <v>312.82</v>
      </c>
      <c r="F68" s="8">
        <v>52</v>
      </c>
      <c r="G68" s="10"/>
      <c r="H68" s="9" t="str">
        <f>IF(G68="","",E68*G68)</f>
        <v/>
      </c>
      <c r="I68" s="11" t="str">
        <f>HYPERLINK("https://optomposuda.ru/product/korzina-dlya-belya-ovalnaya-25-l54h22h40-cm","открыть")</f>
        <v>открыть</v>
      </c>
    </row>
    <row r="69" spans="1:9" x14ac:dyDescent="0.25">
      <c r="A69" t="s">
        <v>312</v>
      </c>
      <c r="B69" t="s">
        <v>313</v>
      </c>
      <c r="C69" t="s">
        <v>194</v>
      </c>
      <c r="D69" s="8">
        <v>32</v>
      </c>
      <c r="E69" s="9">
        <v>116.9</v>
      </c>
      <c r="F69" s="8">
        <v>42</v>
      </c>
      <c r="G69" s="10"/>
      <c r="H69" s="9" t="str">
        <f>IF(G69="","",E69*G69)</f>
        <v/>
      </c>
      <c r="I69" s="11" t="str">
        <f>HYPERLINK("https://optomposuda.ru/product/nabor-ersh-podstavka-pletenyy-rotang-korichnevyy","открыть")</f>
        <v>открыть</v>
      </c>
    </row>
    <row r="70" spans="1:9" x14ac:dyDescent="0.25">
      <c r="A70" s="7" t="s">
        <v>74</v>
      </c>
      <c r="B70" s="7"/>
      <c r="C70" s="7"/>
      <c r="D70" s="7"/>
      <c r="E70" s="7"/>
      <c r="F70" s="7"/>
      <c r="G70" s="7"/>
      <c r="H70" s="7"/>
      <c r="I70" s="7"/>
    </row>
    <row r="71" spans="1:9" x14ac:dyDescent="0.25">
      <c r="A71" t="s">
        <v>314</v>
      </c>
      <c r="B71" t="s">
        <v>315</v>
      </c>
      <c r="C71" t="s">
        <v>194</v>
      </c>
      <c r="D71" s="8">
        <v>50</v>
      </c>
      <c r="E71" s="9">
        <v>131.15</v>
      </c>
      <c r="F71" s="8">
        <v>241</v>
      </c>
      <c r="G71" s="10"/>
      <c r="H71" s="9" t="str">
        <f>IF(G71="","",E71*G71)</f>
        <v/>
      </c>
      <c r="I71" s="11" t="str">
        <f>HYPERLINK("https://optomposuda.ru/product/5201-miska-200-mm-1-0l-alyumin","открыть")</f>
        <v>открыть</v>
      </c>
    </row>
    <row r="72" spans="1:9" x14ac:dyDescent="0.25">
      <c r="A72" s="7" t="s">
        <v>85</v>
      </c>
      <c r="B72" s="7"/>
      <c r="C72" s="7"/>
      <c r="D72" s="7"/>
      <c r="E72" s="7"/>
      <c r="F72" s="7"/>
      <c r="G72" s="7"/>
      <c r="H72" s="7"/>
      <c r="I72" s="7"/>
    </row>
    <row r="73" spans="1:9" x14ac:dyDescent="0.25">
      <c r="A73" t="s">
        <v>316</v>
      </c>
      <c r="B73" t="s">
        <v>317</v>
      </c>
      <c r="C73" t="s">
        <v>194</v>
      </c>
      <c r="D73" s="8">
        <v>5</v>
      </c>
      <c r="E73" s="9">
        <v>1056.79</v>
      </c>
      <c r="F73" s="8">
        <v>13</v>
      </c>
      <c r="G73" s="10"/>
      <c r="H73" s="9" t="str">
        <f>IF(G73="","",E73*G73)</f>
        <v/>
      </c>
      <c r="I73" s="11" t="str">
        <f>HYPERLINK("https://optomposuda.ru/product/15451taz-14l-450mm","открыть")</f>
        <v>открыть</v>
      </c>
    </row>
    <row r="74" spans="1:9" x14ac:dyDescent="0.25">
      <c r="A74" t="s">
        <v>318</v>
      </c>
      <c r="B74" t="s">
        <v>319</v>
      </c>
      <c r="C74" t="s">
        <v>194</v>
      </c>
      <c r="D74" s="8">
        <v>5</v>
      </c>
      <c r="E74" s="9">
        <v>1238.4</v>
      </c>
      <c r="F74" s="8">
        <v>20</v>
      </c>
      <c r="G74" s="10"/>
      <c r="H74" s="9" t="str">
        <f>IF(G74="","",E74*G74)</f>
        <v/>
      </c>
      <c r="I74" s="11" t="str">
        <f>HYPERLINK("https://optomposuda.ru/product/15501taz-20l-500mm","открыть")</f>
        <v>открыть</v>
      </c>
    </row>
    <row r="75" spans="1:9" x14ac:dyDescent="0.25">
      <c r="A75" t="s">
        <v>320</v>
      </c>
      <c r="B75" t="s">
        <v>321</v>
      </c>
      <c r="C75" t="s">
        <v>194</v>
      </c>
      <c r="D75" s="8">
        <v>1</v>
      </c>
      <c r="E75" s="9">
        <v>3293.77</v>
      </c>
      <c r="F75" s="8">
        <v>16</v>
      </c>
      <c r="G75" s="10"/>
      <c r="H75" s="9" t="str">
        <f>IF(G75="","",E75*G75)</f>
        <v/>
      </c>
      <c r="I75" s="11" t="str">
        <f>HYPERLINK("https://optomposuda.ru/product/16184-flyaga-18-l-alyumin","открыть")</f>
        <v>открыть</v>
      </c>
    </row>
    <row r="76" spans="1:9" x14ac:dyDescent="0.25">
      <c r="A76" t="s">
        <v>322</v>
      </c>
      <c r="B76" t="s">
        <v>323</v>
      </c>
      <c r="C76" t="s">
        <v>194</v>
      </c>
      <c r="D76" s="8">
        <v>1</v>
      </c>
      <c r="E76" s="9">
        <v>4554.03</v>
      </c>
      <c r="F76" s="8">
        <v>99</v>
      </c>
      <c r="G76" s="10"/>
      <c r="H76" s="9" t="str">
        <f>IF(G76="","",E76*G76)</f>
        <v/>
      </c>
      <c r="I76" s="11" t="str">
        <f>HYPERLINK("https://optomposuda.ru/product/16254-flyaga-25-l-alyumin","открыть")</f>
        <v>открыть</v>
      </c>
    </row>
    <row r="77" spans="1:9" x14ac:dyDescent="0.25">
      <c r="A77" t="s">
        <v>324</v>
      </c>
      <c r="B77" t="s">
        <v>325</v>
      </c>
      <c r="C77" t="s">
        <v>194</v>
      </c>
      <c r="D77" s="8">
        <v>5</v>
      </c>
      <c r="E77" s="9">
        <v>577.57</v>
      </c>
      <c r="F77" s="8">
        <v>188</v>
      </c>
      <c r="G77" s="10"/>
      <c r="H77" s="9" t="str">
        <f>IF(G77="","",E77*G77)</f>
        <v/>
      </c>
      <c r="I77" s="11" t="str">
        <f>HYPERLINK("https://optomposuda.ru/product/5341taz-dlya-varenya-8-5-l-34sm-diametr-alyuminiy","открыть")</f>
        <v>открыть</v>
      </c>
    </row>
    <row r="78" spans="1:9" x14ac:dyDescent="0.25">
      <c r="A78" t="s">
        <v>326</v>
      </c>
      <c r="B78" t="s">
        <v>327</v>
      </c>
      <c r="C78" t="s">
        <v>194</v>
      </c>
      <c r="D78" s="8">
        <v>5</v>
      </c>
      <c r="E78" s="9">
        <v>679.95</v>
      </c>
      <c r="F78" s="8">
        <v>188</v>
      </c>
      <c r="G78" s="10"/>
      <c r="H78" s="9" t="str">
        <f>IF(G78="","",E78*G78)</f>
        <v/>
      </c>
      <c r="I78" s="11" t="str">
        <f>HYPERLINK("https://optomposuda.ru/product/5361taz-dlya-varenya-10-6l-36sm-diametr-alyuminiy","открыть")</f>
        <v>открыть</v>
      </c>
    </row>
  </sheetData>
  <autoFilter ref="A7:I7"/>
  <mergeCells count="9">
    <mergeCell ref="A1:I1"/>
    <mergeCell ref="A2:I2"/>
    <mergeCell ref="A3:I3"/>
    <mergeCell ref="A4:I4"/>
    <mergeCell ref="A8:I8"/>
    <mergeCell ref="A11:I11"/>
    <mergeCell ref="A27:I27"/>
    <mergeCell ref="A70:I70"/>
    <mergeCell ref="A72:I7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328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SUM(H8:H20)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329</v>
      </c>
      <c r="B9" t="s">
        <v>330</v>
      </c>
      <c r="C9" t="s">
        <v>328</v>
      </c>
      <c r="D9" s="8">
        <v>1</v>
      </c>
      <c r="E9" s="9">
        <v>71.04</v>
      </c>
      <c r="F9" s="8">
        <v>148</v>
      </c>
      <c r="G9" s="10"/>
      <c r="H9" s="9" t="str">
        <f>IF(G9="","",E9*G9)</f>
        <v/>
      </c>
      <c r="I9" s="11" t="str">
        <f>HYPERLINK("https://optomposuda.ru/product/doska-kuhonnaya-35-23-0-2-iz-polipropilena","открыть")</f>
        <v>открыть</v>
      </c>
    </row>
    <row r="10" spans="1:9" x14ac:dyDescent="0.25">
      <c r="A10" t="s">
        <v>331</v>
      </c>
      <c r="B10" t="s">
        <v>332</v>
      </c>
      <c r="C10" t="s">
        <v>328</v>
      </c>
      <c r="D10" s="8">
        <v>10</v>
      </c>
      <c r="E10" s="9">
        <v>59.19</v>
      </c>
      <c r="F10" s="8">
        <v>174</v>
      </c>
      <c r="G10" s="10"/>
      <c r="H10" s="9" t="str">
        <f>IF(G10="","",E10*G10)</f>
        <v/>
      </c>
      <c r="I10" s="11" t="str">
        <f>HYPERLINK("https://optomposuda.ru/product/doska-sovok-razdelochnaya-kuhonnaya-33-6-21-8-0-2-iz-plastika","открыть")</f>
        <v>открыть</v>
      </c>
    </row>
    <row r="11" spans="1:9" x14ac:dyDescent="0.25">
      <c r="A11" t="s">
        <v>333</v>
      </c>
      <c r="B11" t="s">
        <v>334</v>
      </c>
      <c r="C11" t="s">
        <v>328</v>
      </c>
      <c r="D11" s="8">
        <v>96</v>
      </c>
      <c r="E11" s="9">
        <v>57.35</v>
      </c>
      <c r="F11" s="8">
        <v>273</v>
      </c>
      <c r="G11" s="10"/>
      <c r="H11" s="9" t="str">
        <f>IF(G11="","",E11*G11)</f>
        <v/>
      </c>
      <c r="I11" s="11" t="str">
        <f>HYPERLINK("https://optomposuda.ru/product/forma-dlya-pechenya-6sht-plastmassovaya","открыть")</f>
        <v>открыть</v>
      </c>
    </row>
    <row r="12" spans="1:9" x14ac:dyDescent="0.25">
      <c r="A12" s="7" t="s">
        <v>74</v>
      </c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t="s">
        <v>335</v>
      </c>
      <c r="B13" t="s">
        <v>336</v>
      </c>
      <c r="C13" t="s">
        <v>328</v>
      </c>
      <c r="D13" s="8">
        <v>1</v>
      </c>
      <c r="E13" s="9">
        <v>67.29</v>
      </c>
      <c r="F13" s="8">
        <v>1289</v>
      </c>
      <c r="G13" s="10"/>
      <c r="H13" s="9" t="str">
        <f>IF(G13="","",E13*G13)</f>
        <v/>
      </c>
      <c r="I13" s="11" t="str">
        <f>HYPERLINK("https://optomposuda.ru/product/termosalfetki-45-30-100sht-v-kor-xh0008-1-f","открыть")</f>
        <v>открыть</v>
      </c>
    </row>
    <row r="14" spans="1:9" x14ac:dyDescent="0.25">
      <c r="A14" t="s">
        <v>337</v>
      </c>
      <c r="B14" t="s">
        <v>338</v>
      </c>
      <c r="C14" t="s">
        <v>328</v>
      </c>
      <c r="D14" s="8">
        <v>1</v>
      </c>
      <c r="E14" s="9">
        <v>67.29</v>
      </c>
      <c r="F14" s="8">
        <v>1061</v>
      </c>
      <c r="G14" s="10"/>
      <c r="H14" s="9" t="str">
        <f>IF(G14="","",E14*G14)</f>
        <v/>
      </c>
      <c r="I14" s="11" t="str">
        <f>HYPERLINK("https://optomposuda.ru/product/termosalfetki-45-30-g-100sht-v-kor-xh0008-4-g","открыть")</f>
        <v>открыть</v>
      </c>
    </row>
    <row r="15" spans="1:9" x14ac:dyDescent="0.25">
      <c r="A15" t="s">
        <v>339</v>
      </c>
      <c r="B15" t="s">
        <v>340</v>
      </c>
      <c r="C15" t="s">
        <v>328</v>
      </c>
      <c r="D15" s="8">
        <v>1</v>
      </c>
      <c r="E15" s="9">
        <v>67.29</v>
      </c>
      <c r="F15" s="8">
        <v>800</v>
      </c>
      <c r="G15" s="10"/>
      <c r="H15" s="9" t="str">
        <f>IF(G15="","",E15*G15)</f>
        <v/>
      </c>
      <c r="I15" s="11" t="str">
        <f>HYPERLINK("https://optomposuda.ru/product/termosalfetki-45-30-z-100sht-v-kor-xh0008-6-z","открыть")</f>
        <v>открыть</v>
      </c>
    </row>
    <row r="16" spans="1:9" x14ac:dyDescent="0.25">
      <c r="A16" t="s">
        <v>341</v>
      </c>
      <c r="B16" t="s">
        <v>342</v>
      </c>
      <c r="C16" t="s">
        <v>328</v>
      </c>
      <c r="D16" s="8">
        <v>1</v>
      </c>
      <c r="E16" s="9">
        <v>67.29</v>
      </c>
      <c r="F16" s="8">
        <v>50</v>
      </c>
      <c r="G16" s="10"/>
      <c r="H16" s="9" t="str">
        <f>IF(G16="","",E16*G16)</f>
        <v/>
      </c>
      <c r="I16" s="11" t="str">
        <f>HYPERLINK("https://optomposuda.ru/product/termosalfetki-45-30-k-100sht-v-kor-xh0008-5-k","открыть")</f>
        <v>открыть</v>
      </c>
    </row>
    <row r="17" spans="1:9" x14ac:dyDescent="0.25">
      <c r="A17" t="s">
        <v>343</v>
      </c>
      <c r="B17" t="s">
        <v>344</v>
      </c>
      <c r="C17" t="s">
        <v>328</v>
      </c>
      <c r="D17" s="8">
        <v>1</v>
      </c>
      <c r="E17" s="9">
        <v>67.29</v>
      </c>
      <c r="F17" s="8">
        <v>989</v>
      </c>
      <c r="G17" s="10"/>
      <c r="H17" s="9" t="str">
        <f>IF(G17="","",E17*G17)</f>
        <v/>
      </c>
      <c r="I17" s="11" t="str">
        <f>HYPERLINK("https://optomposuda.ru/product/termosalfetki-45-30-k-100sht-v-kor-xh0008-6-k","открыть")</f>
        <v>открыть</v>
      </c>
    </row>
    <row r="18" spans="1:9" x14ac:dyDescent="0.25">
      <c r="A18" t="s">
        <v>345</v>
      </c>
      <c r="B18" t="s">
        <v>346</v>
      </c>
      <c r="C18" t="s">
        <v>328</v>
      </c>
      <c r="D18" s="8">
        <v>1</v>
      </c>
      <c r="E18" s="9">
        <v>67.29</v>
      </c>
      <c r="F18" s="8">
        <v>1363</v>
      </c>
      <c r="G18" s="10"/>
      <c r="H18" s="9" t="str">
        <f>IF(G18="","",E18*G18)</f>
        <v/>
      </c>
      <c r="I18" s="11" t="str">
        <f>HYPERLINK("https://optomposuda.ru/product/termosalfetki-45-30-r-100sht-v-kor-xh0008-4-r","открыть")</f>
        <v>открыть</v>
      </c>
    </row>
    <row r="19" spans="1:9" x14ac:dyDescent="0.25">
      <c r="A19" t="s">
        <v>347</v>
      </c>
      <c r="B19" t="s">
        <v>348</v>
      </c>
      <c r="C19" t="s">
        <v>328</v>
      </c>
      <c r="D19" s="8">
        <v>1</v>
      </c>
      <c r="E19" s="9">
        <v>67.29</v>
      </c>
      <c r="F19" s="8">
        <v>1184</v>
      </c>
      <c r="G19" s="10"/>
      <c r="H19" s="9" t="str">
        <f>IF(G19="","",E19*G19)</f>
        <v/>
      </c>
      <c r="I19" s="11" t="str">
        <f>HYPERLINK("https://optomposuda.ru/product/termosalfetki-45-30-s-100sht-v-kor-xh0008-4-s","открыть")</f>
        <v>открыть</v>
      </c>
    </row>
    <row r="20" spans="1:9" x14ac:dyDescent="0.25">
      <c r="A20" t="s">
        <v>349</v>
      </c>
      <c r="B20" t="s">
        <v>350</v>
      </c>
      <c r="C20" t="s">
        <v>328</v>
      </c>
      <c r="D20" s="8">
        <v>1</v>
      </c>
      <c r="E20" s="9">
        <v>67.29</v>
      </c>
      <c r="F20" s="8">
        <v>832</v>
      </c>
      <c r="G20" s="10"/>
      <c r="H20" s="9" t="str">
        <f>IF(G20="","",E20*G20)</f>
        <v/>
      </c>
      <c r="I20" s="11" t="str">
        <f>HYPERLINK("https://optomposuda.ru/product/termosalfetki-45-30-s-100sht-v-kor-xh0008-6-s","открыть")</f>
        <v>открыть</v>
      </c>
    </row>
  </sheetData>
  <autoFilter ref="A7:I7"/>
  <mergeCells count="6">
    <mergeCell ref="A1:I1"/>
    <mergeCell ref="A2:I2"/>
    <mergeCell ref="A3:I3"/>
    <mergeCell ref="A4:I4"/>
    <mergeCell ref="A8:I8"/>
    <mergeCell ref="A12:I1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351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SUM(H8:H50)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352</v>
      </c>
      <c r="B9" t="s">
        <v>353</v>
      </c>
      <c r="C9" t="s">
        <v>351</v>
      </c>
      <c r="D9" s="8">
        <v>8</v>
      </c>
      <c r="E9" s="9">
        <v>709.64</v>
      </c>
      <c r="F9" s="8">
        <v>106</v>
      </c>
      <c r="G9" s="10"/>
      <c r="H9" s="9" t="str">
        <f>IF(G9="","",E9*G9)</f>
        <v/>
      </c>
      <c r="I9" s="11" t="str">
        <f>HYPERLINK("https://optomposuda.ru/product/lotok-2-5-l-sochnaya-klubnika-280h200h55-mm-plastik-kryshka","открыть")</f>
        <v>открыть</v>
      </c>
    </row>
    <row r="10" spans="1:9" x14ac:dyDescent="0.25">
      <c r="A10" s="7" t="s">
        <v>354</v>
      </c>
      <c r="B10" s="7"/>
      <c r="C10" s="7"/>
      <c r="D10" s="7"/>
      <c r="E10" s="7"/>
      <c r="F10" s="7"/>
      <c r="G10" s="7"/>
      <c r="H10" s="7"/>
      <c r="I10" s="7"/>
    </row>
    <row r="11" spans="1:9" x14ac:dyDescent="0.25">
      <c r="A11" t="s">
        <v>355</v>
      </c>
      <c r="B11" t="s">
        <v>356</v>
      </c>
      <c r="C11" t="s">
        <v>351</v>
      </c>
      <c r="D11" s="8">
        <v>1</v>
      </c>
      <c r="E11" s="9">
        <v>1657.66</v>
      </c>
      <c r="F11" s="8">
        <v>36</v>
      </c>
      <c r="G11" s="10"/>
      <c r="H11" s="9" t="str">
        <f>IF(G11="","",E11*G11)</f>
        <v/>
      </c>
      <c r="I11" s="11" t="str">
        <f>HYPERLINK("https://optomposuda.ru/product/nabor-001-anyutiny-glazki-kastr-cilindr-1-45-l-2-9-l-4-3-l","открыть")</f>
        <v>открыть</v>
      </c>
    </row>
    <row r="12" spans="1:9" x14ac:dyDescent="0.25">
      <c r="A12" t="s">
        <v>355</v>
      </c>
      <c r="B12" t="s">
        <v>357</v>
      </c>
      <c r="C12" t="s">
        <v>351</v>
      </c>
      <c r="D12" s="8">
        <v>1</v>
      </c>
      <c r="E12" s="9">
        <v>1657.66</v>
      </c>
      <c r="F12" s="8">
        <v>35</v>
      </c>
      <c r="G12" s="10"/>
      <c r="H12" s="9" t="str">
        <f>IF(G12="","",E12*G12)</f>
        <v/>
      </c>
      <c r="I12" s="11" t="str">
        <f>HYPERLINK("https://optomposuda.ru/product/nabor-001-laskovyy-may-kastr-cilindr-1-45-l-2-9-l-4-3-l","открыть")</f>
        <v>открыть</v>
      </c>
    </row>
    <row r="13" spans="1:9" x14ac:dyDescent="0.25">
      <c r="A13" t="s">
        <v>358</v>
      </c>
      <c r="B13" t="s">
        <v>359</v>
      </c>
      <c r="C13" t="s">
        <v>351</v>
      </c>
      <c r="D13" s="8">
        <v>1</v>
      </c>
      <c r="E13" s="9">
        <v>1101.8</v>
      </c>
      <c r="F13" s="8">
        <v>86</v>
      </c>
      <c r="G13" s="10"/>
      <c r="H13" s="9" t="str">
        <f>IF(G13="","",E13*G13)</f>
        <v/>
      </c>
      <c r="I13" s="11" t="str">
        <f>HYPERLINK("https://optomposuda.ru/product/nabor-001-retro-kremovyy","открыть")</f>
        <v>открыть</v>
      </c>
    </row>
    <row r="14" spans="1:9" x14ac:dyDescent="0.25">
      <c r="A14" t="s">
        <v>355</v>
      </c>
      <c r="B14" t="s">
        <v>360</v>
      </c>
      <c r="C14" t="s">
        <v>351</v>
      </c>
      <c r="D14" s="8">
        <v>1</v>
      </c>
      <c r="E14" s="9">
        <v>1611.17</v>
      </c>
      <c r="F14" s="8">
        <v>13</v>
      </c>
      <c r="G14" s="10"/>
      <c r="H14" s="9" t="str">
        <f>IF(G14="","",E14*G14)</f>
        <v/>
      </c>
      <c r="I14" s="11" t="str">
        <f>HYPERLINK("https://optomposuda.ru/product/nabor-001-urban-flower","открыть")</f>
        <v>открыть</v>
      </c>
    </row>
    <row r="15" spans="1:9" x14ac:dyDescent="0.25">
      <c r="A15" s="7" t="s">
        <v>145</v>
      </c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t="s">
        <v>361</v>
      </c>
      <c r="B16" t="s">
        <v>362</v>
      </c>
      <c r="C16" t="s">
        <v>351</v>
      </c>
      <c r="D16" s="8">
        <v>1</v>
      </c>
      <c r="E16" s="9">
        <v>3824.02</v>
      </c>
      <c r="F16" s="8">
        <v>10</v>
      </c>
      <c r="G16" s="10"/>
      <c r="H16" s="9" t="str">
        <f>IF(G16="","",E16*G16)</f>
        <v/>
      </c>
      <c r="I16" s="11" t="str">
        <f>HYPERLINK("https://optomposuda.ru/product/bak-40-0-l-bez-ris-2840p2-rb","открыть")</f>
        <v>открыть</v>
      </c>
    </row>
    <row r="17" spans="1:9" x14ac:dyDescent="0.25">
      <c r="A17" t="s">
        <v>363</v>
      </c>
      <c r="B17" t="s">
        <v>364</v>
      </c>
      <c r="C17" t="s">
        <v>351</v>
      </c>
      <c r="D17" s="8">
        <v>6</v>
      </c>
      <c r="E17" s="9">
        <v>425.04</v>
      </c>
      <c r="F17" s="8">
        <v>11</v>
      </c>
      <c r="G17" s="10"/>
      <c r="H17" s="9" t="str">
        <f>IF(G17="","",E17*G17)</f>
        <v/>
      </c>
      <c r="I17" s="11" t="str">
        <f>HYPERLINK("https://optomposuda.ru/product/kastryulya-cilindrich-1-45-l-anyutiny-glazki","открыть")</f>
        <v>открыть</v>
      </c>
    </row>
    <row r="18" spans="1:9" x14ac:dyDescent="0.25">
      <c r="A18" t="s">
        <v>363</v>
      </c>
      <c r="B18" t="s">
        <v>365</v>
      </c>
      <c r="C18" t="s">
        <v>351</v>
      </c>
      <c r="D18" s="8">
        <v>6</v>
      </c>
      <c r="E18" s="9">
        <v>425.04</v>
      </c>
      <c r="F18" s="8">
        <v>63</v>
      </c>
      <c r="G18" s="10"/>
      <c r="H18" s="9" t="str">
        <f>IF(G18="","",E18*G18)</f>
        <v/>
      </c>
      <c r="I18" s="11" t="str">
        <f>HYPERLINK("https://optomposuda.ru/product/kastryulya-cilindrich-1-45-l-laskovyy-may","открыть")</f>
        <v>открыть</v>
      </c>
    </row>
    <row r="19" spans="1:9" x14ac:dyDescent="0.25">
      <c r="A19" t="s">
        <v>363</v>
      </c>
      <c r="B19" t="s">
        <v>366</v>
      </c>
      <c r="C19" t="s">
        <v>351</v>
      </c>
      <c r="D19" s="8">
        <v>6</v>
      </c>
      <c r="E19" s="9">
        <v>425.04</v>
      </c>
      <c r="F19" s="8">
        <v>66</v>
      </c>
      <c r="G19" s="10"/>
      <c r="H19" s="9" t="str">
        <f>IF(G19="","",E19*G19)</f>
        <v/>
      </c>
      <c r="I19" s="11" t="str">
        <f>HYPERLINK("https://optomposuda.ru/product/kastryulya-cilindrich-1-45-l-letniy-etyud","открыть")</f>
        <v>открыть</v>
      </c>
    </row>
    <row r="20" spans="1:9" x14ac:dyDescent="0.25">
      <c r="A20" t="s">
        <v>363</v>
      </c>
      <c r="B20" t="s">
        <v>367</v>
      </c>
      <c r="C20" t="s">
        <v>351</v>
      </c>
      <c r="D20" s="8">
        <v>6</v>
      </c>
      <c r="E20" s="9">
        <v>425.04</v>
      </c>
      <c r="F20" s="8">
        <v>39</v>
      </c>
      <c r="G20" s="10"/>
      <c r="H20" s="9" t="str">
        <f>IF(G20="","",E20*G20)</f>
        <v/>
      </c>
      <c r="I20" s="11" t="str">
        <f>HYPERLINK("https://optomposuda.ru/product/kastryulya-cilindrich-1-45-l-sochnaya-klubnika","открыть")</f>
        <v>открыть</v>
      </c>
    </row>
    <row r="21" spans="1:9" x14ac:dyDescent="0.25">
      <c r="A21" t="s">
        <v>363</v>
      </c>
      <c r="B21" t="s">
        <v>368</v>
      </c>
      <c r="C21" t="s">
        <v>351</v>
      </c>
      <c r="D21" s="8">
        <v>6</v>
      </c>
      <c r="E21" s="9">
        <v>425.04</v>
      </c>
      <c r="F21" s="8">
        <v>99</v>
      </c>
      <c r="G21" s="10"/>
      <c r="H21" s="9" t="str">
        <f>IF(G21="","",E21*G21)</f>
        <v/>
      </c>
      <c r="I21" s="11" t="str">
        <f>HYPERLINK("https://optomposuda.ru/product/kastryulya-cilindrich-1-45-l-fruktovaya-fantaziya","открыть")</f>
        <v>открыть</v>
      </c>
    </row>
    <row r="22" spans="1:9" x14ac:dyDescent="0.25">
      <c r="A22" t="s">
        <v>363</v>
      </c>
      <c r="B22" t="s">
        <v>369</v>
      </c>
      <c r="C22" t="s">
        <v>351</v>
      </c>
      <c r="D22" s="8">
        <v>6</v>
      </c>
      <c r="E22" s="9">
        <v>396.76</v>
      </c>
      <c r="F22" s="8">
        <v>32</v>
      </c>
      <c r="G22" s="10"/>
      <c r="H22" s="9" t="str">
        <f>IF(G22="","",E22*G22)</f>
        <v/>
      </c>
      <c r="I22" s="11" t="str">
        <f>HYPERLINK("https://optomposuda.ru/product/kastryulya-cilindrich-1-45-l-artichoke","открыть")</f>
        <v>открыть</v>
      </c>
    </row>
    <row r="23" spans="1:9" x14ac:dyDescent="0.25">
      <c r="A23" t="s">
        <v>363</v>
      </c>
      <c r="B23" t="s">
        <v>370</v>
      </c>
      <c r="C23" t="s">
        <v>351</v>
      </c>
      <c r="D23" s="8">
        <v>6</v>
      </c>
      <c r="E23" s="9">
        <v>396.76</v>
      </c>
      <c r="F23" s="8">
        <v>120</v>
      </c>
      <c r="G23" s="10"/>
      <c r="H23" s="9" t="str">
        <f>IF(G23="","",E23*G23)</f>
        <v/>
      </c>
      <c r="I23" s="11" t="str">
        <f>HYPERLINK("https://optomposuda.ru/product/kastryulya-cilindrich-1-45-l-corn","открыть")</f>
        <v>открыть</v>
      </c>
    </row>
    <row r="24" spans="1:9" x14ac:dyDescent="0.25">
      <c r="A24" t="s">
        <v>363</v>
      </c>
      <c r="B24" t="s">
        <v>371</v>
      </c>
      <c r="C24" t="s">
        <v>351</v>
      </c>
      <c r="D24" s="8">
        <v>6</v>
      </c>
      <c r="E24" s="9">
        <v>396.75</v>
      </c>
      <c r="F24" s="8">
        <v>82</v>
      </c>
      <c r="G24" s="10"/>
      <c r="H24" s="9" t="str">
        <f>IF(G24="","",E24*G24)</f>
        <v/>
      </c>
      <c r="I24" s="11" t="str">
        <f>HYPERLINK("https://optomposuda.ru/product/kastryulya-cilindrich-1-45-l-urban-flower","открыть")</f>
        <v>открыть</v>
      </c>
    </row>
    <row r="25" spans="1:9" x14ac:dyDescent="0.25">
      <c r="A25" t="s">
        <v>372</v>
      </c>
      <c r="B25" t="s">
        <v>373</v>
      </c>
      <c r="C25" t="s">
        <v>351</v>
      </c>
      <c r="D25" s="8">
        <v>4</v>
      </c>
      <c r="E25" s="9">
        <v>579.6</v>
      </c>
      <c r="F25" s="8">
        <v>79</v>
      </c>
      <c r="G25" s="10"/>
      <c r="H25" s="9" t="str">
        <f>IF(G25="","",E25*G25)</f>
        <v/>
      </c>
      <c r="I25" s="11" t="str">
        <f>HYPERLINK("https://optomposuda.ru/product/kastryulya-cilindrich-2-9-l-laskovyy-may","открыть")</f>
        <v>открыть</v>
      </c>
    </row>
    <row r="26" spans="1:9" x14ac:dyDescent="0.25">
      <c r="A26" t="s">
        <v>372</v>
      </c>
      <c r="B26" t="s">
        <v>374</v>
      </c>
      <c r="C26" t="s">
        <v>351</v>
      </c>
      <c r="D26" s="8">
        <v>4</v>
      </c>
      <c r="E26" s="9">
        <v>579.6</v>
      </c>
      <c r="F26" s="8">
        <v>5</v>
      </c>
      <c r="G26" s="10"/>
      <c r="H26" s="9" t="str">
        <f>IF(G26="","",E26*G26)</f>
        <v/>
      </c>
      <c r="I26" s="11" t="str">
        <f>HYPERLINK("https://optomposuda.ru/product/kastryulya-cilindrich-2-9-l-letniy-etyud","открыть")</f>
        <v>открыть</v>
      </c>
    </row>
    <row r="27" spans="1:9" x14ac:dyDescent="0.25">
      <c r="A27" t="s">
        <v>372</v>
      </c>
      <c r="B27" t="s">
        <v>375</v>
      </c>
      <c r="C27" t="s">
        <v>351</v>
      </c>
      <c r="D27" s="8">
        <v>4</v>
      </c>
      <c r="E27" s="9">
        <v>579.6</v>
      </c>
      <c r="F27" s="8">
        <v>9</v>
      </c>
      <c r="G27" s="10"/>
      <c r="H27" s="9" t="str">
        <f>IF(G27="","",E27*G27)</f>
        <v/>
      </c>
      <c r="I27" s="11" t="str">
        <f>HYPERLINK("https://optomposuda.ru/product/kastryulya-cilindrich-2-9-l-fruktovaya-fantaziya-emal","открыть")</f>
        <v>открыть</v>
      </c>
    </row>
    <row r="28" spans="1:9" x14ac:dyDescent="0.25">
      <c r="A28" t="s">
        <v>372</v>
      </c>
      <c r="B28" t="s">
        <v>376</v>
      </c>
      <c r="C28" t="s">
        <v>351</v>
      </c>
      <c r="D28" s="8">
        <v>4</v>
      </c>
      <c r="E28" s="9">
        <v>541.6</v>
      </c>
      <c r="F28" s="8">
        <v>27</v>
      </c>
      <c r="G28" s="10"/>
      <c r="H28" s="9" t="str">
        <f>IF(G28="","",E28*G28)</f>
        <v/>
      </c>
      <c r="I28" s="11" t="str">
        <f>HYPERLINK("https://optomposuda.ru/product/kastryulya-cilindrich-2-9-l-artichoke","открыть")</f>
        <v>открыть</v>
      </c>
    </row>
    <row r="29" spans="1:9" x14ac:dyDescent="0.25">
      <c r="A29" t="s">
        <v>372</v>
      </c>
      <c r="B29" t="s">
        <v>377</v>
      </c>
      <c r="C29" t="s">
        <v>351</v>
      </c>
      <c r="D29" s="8">
        <v>4</v>
      </c>
      <c r="E29" s="9">
        <v>541.6</v>
      </c>
      <c r="F29" s="8">
        <v>85</v>
      </c>
      <c r="G29" s="10"/>
      <c r="H29" s="9" t="str">
        <f>IF(G29="","",E29*G29)</f>
        <v/>
      </c>
      <c r="I29" s="11" t="str">
        <f>HYPERLINK("https://optomposuda.ru/product/kastryulya-cilindrich-2-9-l-corn","открыть")</f>
        <v>открыть</v>
      </c>
    </row>
    <row r="30" spans="1:9" x14ac:dyDescent="0.25">
      <c r="A30" t="s">
        <v>372</v>
      </c>
      <c r="B30" t="s">
        <v>378</v>
      </c>
      <c r="C30" t="s">
        <v>351</v>
      </c>
      <c r="D30" s="8">
        <v>4</v>
      </c>
      <c r="E30" s="9">
        <v>541.6</v>
      </c>
      <c r="F30" s="8">
        <v>67</v>
      </c>
      <c r="G30" s="10"/>
      <c r="H30" s="9" t="str">
        <f>IF(G30="","",E30*G30)</f>
        <v/>
      </c>
      <c r="I30" s="11" t="str">
        <f>HYPERLINK("https://optomposuda.ru/product/kastryulya-cilindrich-2-9-l-urban-flower","открыть")</f>
        <v>открыть</v>
      </c>
    </row>
    <row r="31" spans="1:9" x14ac:dyDescent="0.25">
      <c r="A31" t="s">
        <v>379</v>
      </c>
      <c r="B31" t="s">
        <v>380</v>
      </c>
      <c r="C31" t="s">
        <v>351</v>
      </c>
      <c r="D31" s="8">
        <v>4</v>
      </c>
      <c r="E31" s="9">
        <v>686.67</v>
      </c>
      <c r="F31" s="8">
        <v>30</v>
      </c>
      <c r="G31" s="10"/>
      <c r="H31" s="9" t="str">
        <f>IF(G31="","",E31*G31)</f>
        <v/>
      </c>
      <c r="I31" s="11" t="str">
        <f>HYPERLINK("https://optomposuda.ru/product/kastryulya-cilindrich-4-3-l-laskovyy-may","открыть")</f>
        <v>открыть</v>
      </c>
    </row>
    <row r="32" spans="1:9" x14ac:dyDescent="0.25">
      <c r="A32" t="s">
        <v>379</v>
      </c>
      <c r="B32" t="s">
        <v>381</v>
      </c>
      <c r="C32" t="s">
        <v>351</v>
      </c>
      <c r="D32" s="8">
        <v>4</v>
      </c>
      <c r="E32" s="9">
        <v>641.41</v>
      </c>
      <c r="F32" s="8">
        <v>1</v>
      </c>
      <c r="G32" s="10"/>
      <c r="H32" s="9" t="str">
        <f>IF(G32="","",E32*G32)</f>
        <v/>
      </c>
      <c r="I32" s="11" t="str">
        <f>HYPERLINK("https://optomposuda.ru/product/kastryulya-cilindrich-4-3-l-letniy-etyud","открыть")</f>
        <v>открыть</v>
      </c>
    </row>
    <row r="33" spans="1:9" x14ac:dyDescent="0.25">
      <c r="A33" t="s">
        <v>379</v>
      </c>
      <c r="B33" t="s">
        <v>382</v>
      </c>
      <c r="C33" t="s">
        <v>351</v>
      </c>
      <c r="D33" s="8">
        <v>4</v>
      </c>
      <c r="E33" s="9">
        <v>686.67</v>
      </c>
      <c r="F33" s="8">
        <v>45</v>
      </c>
      <c r="G33" s="10"/>
      <c r="H33" s="9" t="str">
        <f>IF(G33="","",E33*G33)</f>
        <v/>
      </c>
      <c r="I33" s="11" t="str">
        <f>HYPERLINK("https://optomposuda.ru/product/kastryulya-cilindrich-4-3-l-fruktovaya-fantaziya","открыть")</f>
        <v>открыть</v>
      </c>
    </row>
    <row r="34" spans="1:9" x14ac:dyDescent="0.25">
      <c r="A34" t="s">
        <v>379</v>
      </c>
      <c r="B34" t="s">
        <v>383</v>
      </c>
      <c r="C34" t="s">
        <v>351</v>
      </c>
      <c r="D34" s="8">
        <v>4</v>
      </c>
      <c r="E34" s="9">
        <v>641.41</v>
      </c>
      <c r="F34" s="8">
        <v>4</v>
      </c>
      <c r="G34" s="10"/>
      <c r="H34" s="9" t="str">
        <f>IF(G34="","",E34*G34)</f>
        <v/>
      </c>
      <c r="I34" s="11" t="str">
        <f>HYPERLINK("https://optomposuda.ru/product/kastryulya-cilindrich-4-3-l-artichoke","открыть")</f>
        <v>открыть</v>
      </c>
    </row>
    <row r="35" spans="1:9" x14ac:dyDescent="0.25">
      <c r="A35" t="s">
        <v>379</v>
      </c>
      <c r="B35" t="s">
        <v>384</v>
      </c>
      <c r="C35" t="s">
        <v>351</v>
      </c>
      <c r="D35" s="8">
        <v>4</v>
      </c>
      <c r="E35" s="9">
        <v>641.41</v>
      </c>
      <c r="F35" s="8">
        <v>72</v>
      </c>
      <c r="G35" s="10"/>
      <c r="H35" s="9" t="str">
        <f>IF(G35="","",E35*G35)</f>
        <v/>
      </c>
      <c r="I35" s="11" t="str">
        <f>HYPERLINK("https://optomposuda.ru/product/kastryulya-cilindrich-4-3-l-corn","открыть")</f>
        <v>открыть</v>
      </c>
    </row>
    <row r="36" spans="1:9" x14ac:dyDescent="0.25">
      <c r="A36" t="s">
        <v>379</v>
      </c>
      <c r="B36" t="s">
        <v>385</v>
      </c>
      <c r="C36" t="s">
        <v>351</v>
      </c>
      <c r="D36" s="8">
        <v>4</v>
      </c>
      <c r="E36" s="9">
        <v>641.39</v>
      </c>
      <c r="F36" s="8">
        <v>19</v>
      </c>
      <c r="G36" s="10"/>
      <c r="H36" s="9" t="str">
        <f>IF(G36="","",E36*G36)</f>
        <v/>
      </c>
      <c r="I36" s="11" t="str">
        <f>HYPERLINK("https://optomposuda.ru/product/kastryulya-cilindrich-4-3-l-urban-flower","открыть")</f>
        <v>открыть</v>
      </c>
    </row>
    <row r="37" spans="1:9" x14ac:dyDescent="0.25">
      <c r="A37" t="s">
        <v>386</v>
      </c>
      <c r="B37" t="s">
        <v>387</v>
      </c>
      <c r="C37" t="s">
        <v>351</v>
      </c>
      <c r="D37" s="8">
        <v>8</v>
      </c>
      <c r="E37" s="9">
        <v>349.42</v>
      </c>
      <c r="F37" s="8">
        <v>13</v>
      </c>
      <c r="G37" s="10"/>
      <c r="H37" s="9" t="str">
        <f>IF(G37="","",E37*G37)</f>
        <v/>
      </c>
      <c r="I37" s="11" t="str">
        <f>HYPERLINK("https://optomposuda.ru/product/kovsh-1-5-l-anyutiny-glazki-s-ris","открыть")</f>
        <v>открыть</v>
      </c>
    </row>
    <row r="38" spans="1:9" x14ac:dyDescent="0.25">
      <c r="A38" t="s">
        <v>386</v>
      </c>
      <c r="B38" t="s">
        <v>388</v>
      </c>
      <c r="C38" t="s">
        <v>351</v>
      </c>
      <c r="D38" s="8">
        <v>8</v>
      </c>
      <c r="E38" s="9">
        <v>363.86</v>
      </c>
      <c r="F38" s="8">
        <v>67</v>
      </c>
      <c r="G38" s="10"/>
      <c r="H38" s="9" t="str">
        <f>IF(G38="","",E38*G38)</f>
        <v/>
      </c>
      <c r="I38" s="11" t="str">
        <f>HYPERLINK("https://optomposuda.ru/product/kovsh-1-5-l-laskovyy-may-s-ris","открыть")</f>
        <v>открыть</v>
      </c>
    </row>
    <row r="39" spans="1:9" x14ac:dyDescent="0.25">
      <c r="A39" t="s">
        <v>389</v>
      </c>
      <c r="B39" t="s">
        <v>390</v>
      </c>
      <c r="C39" t="s">
        <v>351</v>
      </c>
      <c r="D39" s="8">
        <v>8</v>
      </c>
      <c r="E39" s="9">
        <v>339.61</v>
      </c>
      <c r="F39" s="8">
        <v>97</v>
      </c>
      <c r="G39" s="10"/>
      <c r="H39" s="9" t="str">
        <f>IF(G39="","",E39*G39)</f>
        <v/>
      </c>
      <c r="I39" s="11" t="str">
        <f>HYPERLINK("https://optomposuda.ru/product/kovsh-1-5-l-sochnaya-klubnika-s-ris","открыть")</f>
        <v>открыть</v>
      </c>
    </row>
    <row r="40" spans="1:9" x14ac:dyDescent="0.25">
      <c r="A40" t="s">
        <v>391</v>
      </c>
      <c r="B40" t="s">
        <v>392</v>
      </c>
      <c r="C40" t="s">
        <v>351</v>
      </c>
      <c r="D40" s="8">
        <v>8</v>
      </c>
      <c r="E40" s="9">
        <v>363.86</v>
      </c>
      <c r="F40" s="8">
        <v>133</v>
      </c>
      <c r="G40" s="10"/>
      <c r="H40" s="9" t="str">
        <f>IF(G40="","",E40*G40)</f>
        <v/>
      </c>
      <c r="I40" s="11" t="str">
        <f>HYPERLINK("https://optomposuda.ru/product/kovsh-1-5-l-fruktovaya-fantaziya-s-ris-art-2008-4-rb","открыть")</f>
        <v>открыть</v>
      </c>
    </row>
    <row r="41" spans="1:9" x14ac:dyDescent="0.25">
      <c r="A41" t="s">
        <v>393</v>
      </c>
      <c r="B41" t="s">
        <v>394</v>
      </c>
      <c r="C41" t="s">
        <v>351</v>
      </c>
      <c r="D41" s="8">
        <v>6</v>
      </c>
      <c r="E41" s="9">
        <v>736.92</v>
      </c>
      <c r="F41" s="8">
        <v>27</v>
      </c>
      <c r="G41" s="10"/>
      <c r="H41" s="9" t="str">
        <f>IF(G41="","",E41*G41)</f>
        <v/>
      </c>
      <c r="I41" s="11" t="str">
        <f>HYPERLINK("https://optomposuda.ru/product/chaynik-2-0-l-artichoke","открыть")</f>
        <v>открыть</v>
      </c>
    </row>
    <row r="42" spans="1:9" x14ac:dyDescent="0.25">
      <c r="A42" t="s">
        <v>393</v>
      </c>
      <c r="B42" t="s">
        <v>395</v>
      </c>
      <c r="C42" t="s">
        <v>351</v>
      </c>
      <c r="D42" s="8">
        <v>6</v>
      </c>
      <c r="E42" s="9">
        <v>736.92</v>
      </c>
      <c r="F42" s="8">
        <v>21</v>
      </c>
      <c r="G42" s="10"/>
      <c r="H42" s="9" t="str">
        <f>IF(G42="","",E42*G42)</f>
        <v/>
      </c>
      <c r="I42" s="11" t="str">
        <f>HYPERLINK("https://optomposuda.ru/product/chaynik-2-0-l-urban-flower","открыть")</f>
        <v>открыть</v>
      </c>
    </row>
    <row r="43" spans="1:9" x14ac:dyDescent="0.25">
      <c r="A43" t="s">
        <v>396</v>
      </c>
      <c r="B43" t="s">
        <v>397</v>
      </c>
      <c r="C43" t="s">
        <v>351</v>
      </c>
      <c r="D43" s="8">
        <v>4</v>
      </c>
      <c r="E43" s="9">
        <v>665.54</v>
      </c>
      <c r="F43" s="8">
        <v>1365</v>
      </c>
      <c r="G43" s="10"/>
      <c r="H43" s="9" t="str">
        <f>IF(G43="","",E43*G43)</f>
        <v/>
      </c>
      <c r="I43" s="11" t="str">
        <f>HYPERLINK("https://optomposuda.ru/product/chaynik-3-5-l-1-ya-sbornaya-risunok-10-dekoley","открыть")</f>
        <v>открыть</v>
      </c>
    </row>
    <row r="44" spans="1:9" x14ac:dyDescent="0.25">
      <c r="A44" t="s">
        <v>398</v>
      </c>
      <c r="B44" t="s">
        <v>399</v>
      </c>
      <c r="C44" t="s">
        <v>351</v>
      </c>
      <c r="D44" s="8">
        <v>4</v>
      </c>
      <c r="E44" s="9">
        <v>849.53</v>
      </c>
      <c r="F44" s="8">
        <v>103</v>
      </c>
      <c r="G44" s="10"/>
      <c r="H44" s="9" t="str">
        <f>IF(G44="","",E44*G44)</f>
        <v/>
      </c>
      <c r="I44" s="11" t="str">
        <f>HYPERLINK("https://optomposuda.ru/product/chaynik-3-5-l-artichoke","открыть")</f>
        <v>открыть</v>
      </c>
    </row>
    <row r="45" spans="1:9" x14ac:dyDescent="0.25">
      <c r="A45" t="s">
        <v>398</v>
      </c>
      <c r="B45" t="s">
        <v>400</v>
      </c>
      <c r="C45" t="s">
        <v>351</v>
      </c>
      <c r="D45" s="8">
        <v>4</v>
      </c>
      <c r="E45" s="9">
        <v>665.54</v>
      </c>
      <c r="F45" s="8">
        <v>10</v>
      </c>
      <c r="G45" s="10"/>
      <c r="H45" s="9" t="str">
        <f>IF(G45="","",E45*G45)</f>
        <v/>
      </c>
      <c r="I45" s="11" t="str">
        <f>HYPERLINK("https://optomposuda.ru/product/chaynik-3-5-l-urban-flower","открыть")</f>
        <v>открыть</v>
      </c>
    </row>
    <row r="46" spans="1:9" x14ac:dyDescent="0.25">
      <c r="A46" s="7" t="s">
        <v>85</v>
      </c>
      <c r="B46" s="7"/>
      <c r="C46" s="7"/>
      <c r="D46" s="7"/>
      <c r="E46" s="7"/>
      <c r="F46" s="7"/>
      <c r="G46" s="7"/>
      <c r="H46" s="7"/>
      <c r="I46" s="7"/>
    </row>
    <row r="47" spans="1:9" x14ac:dyDescent="0.25">
      <c r="A47" t="s">
        <v>401</v>
      </c>
      <c r="B47" t="s">
        <v>402</v>
      </c>
      <c r="C47" t="s">
        <v>351</v>
      </c>
      <c r="D47" s="8">
        <v>2</v>
      </c>
      <c r="E47" s="9">
        <v>1124.41</v>
      </c>
      <c r="F47" s="8">
        <v>21</v>
      </c>
      <c r="G47" s="10"/>
      <c r="H47" s="9" t="str">
        <f>IF(G47="","",E47*G47)</f>
        <v/>
      </c>
      <c r="I47" s="11" t="str">
        <f>HYPERLINK("https://optomposuda.ru/product/vedro-12-l-bez-ris-cilindrich-s-kryshkoy","открыть")</f>
        <v>открыть</v>
      </c>
    </row>
    <row r="48" spans="1:9" x14ac:dyDescent="0.25">
      <c r="A48" t="s">
        <v>403</v>
      </c>
      <c r="B48" t="s">
        <v>404</v>
      </c>
      <c r="C48" t="s">
        <v>351</v>
      </c>
      <c r="D48" s="8">
        <v>4</v>
      </c>
      <c r="E48" s="9">
        <v>1213.94</v>
      </c>
      <c r="F48" s="8">
        <v>167</v>
      </c>
      <c r="G48" s="10"/>
      <c r="H48" s="9" t="str">
        <f>IF(G48="","",E48*G48)</f>
        <v/>
      </c>
      <c r="I48" s="11" t="str">
        <f>HYPERLINK("https://optomposuda.ru/product/vedro-12l-sochnaya-klubnika-konusn-s-kryshkoy","открыть")</f>
        <v>открыть</v>
      </c>
    </row>
    <row r="49" spans="1:9" x14ac:dyDescent="0.25">
      <c r="A49" t="s">
        <v>405</v>
      </c>
      <c r="B49" t="s">
        <v>406</v>
      </c>
      <c r="C49" t="s">
        <v>351</v>
      </c>
      <c r="D49" s="8">
        <v>2</v>
      </c>
      <c r="E49" s="9">
        <v>1161.71</v>
      </c>
      <c r="F49" s="8">
        <v>160</v>
      </c>
      <c r="G49" s="10"/>
      <c r="H49" s="9" t="str">
        <f>IF(G49="","",E49*G49)</f>
        <v/>
      </c>
      <c r="I49" s="11" t="str">
        <f>HYPERLINK("https://optomposuda.ru/product/vedro-bez-kryshki-12l-s-ris-cilindrich-01-1024-4","открыть")</f>
        <v>открыть</v>
      </c>
    </row>
    <row r="50" spans="1:9" x14ac:dyDescent="0.25">
      <c r="A50" t="s">
        <v>407</v>
      </c>
      <c r="B50" t="s">
        <v>408</v>
      </c>
      <c r="C50" t="s">
        <v>351</v>
      </c>
      <c r="D50" s="8">
        <v>5</v>
      </c>
      <c r="E50" s="9">
        <v>830.78</v>
      </c>
      <c r="F50" s="8">
        <v>70</v>
      </c>
      <c r="G50" s="10"/>
      <c r="H50" s="9" t="str">
        <f>IF(G50="","",E50*G50)</f>
        <v/>
      </c>
      <c r="I50" s="11" t="str">
        <f>HYPERLINK("https://optomposuda.ru/product/taz-12-0-l-bez-ris","открыть")</f>
        <v>открыть</v>
      </c>
    </row>
  </sheetData>
  <autoFilter ref="A7:I7"/>
  <mergeCells count="8">
    <mergeCell ref="A1:I1"/>
    <mergeCell ref="A2:I2"/>
    <mergeCell ref="A3:I3"/>
    <mergeCell ref="A4:I4"/>
    <mergeCell ref="A8:I8"/>
    <mergeCell ref="A10:I10"/>
    <mergeCell ref="A15:I15"/>
    <mergeCell ref="A46:I46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409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SUM(H8:H97)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410</v>
      </c>
      <c r="B9" t="s">
        <v>411</v>
      </c>
      <c r="C9" t="s">
        <v>409</v>
      </c>
      <c r="D9" s="8">
        <v>8</v>
      </c>
      <c r="E9" s="9">
        <v>394.29</v>
      </c>
      <c r="F9" s="8">
        <v>867</v>
      </c>
      <c r="G9" s="10"/>
      <c r="H9" s="9" t="str">
        <f>IF(G9="","",E9*G9)</f>
        <v/>
      </c>
      <c r="I9" s="11" t="str">
        <f>HYPERLINK("https://optomposuda.ru/product/gorshok-nochnoy-1-5l-bez-ris-01-0908","открыть")</f>
        <v>открыть</v>
      </c>
    </row>
    <row r="10" spans="1:9" x14ac:dyDescent="0.25">
      <c r="A10" t="s">
        <v>412</v>
      </c>
      <c r="B10" t="s">
        <v>413</v>
      </c>
      <c r="C10" t="s">
        <v>409</v>
      </c>
      <c r="D10" s="8">
        <v>2</v>
      </c>
      <c r="E10" s="9">
        <v>675.27</v>
      </c>
      <c r="F10" s="8">
        <v>826</v>
      </c>
      <c r="G10" s="10"/>
      <c r="H10" s="9" t="str">
        <f>IF(G10="","",E10*G10)</f>
        <v/>
      </c>
      <c r="I10" s="11" t="str">
        <f>HYPERLINK("https://optomposuda.ru/product/gorshok-nochnoy-3l-bez-ris-h-12-5sm-0912","открыть")</f>
        <v>открыть</v>
      </c>
    </row>
    <row r="11" spans="1:9" x14ac:dyDescent="0.25">
      <c r="A11" s="7" t="s">
        <v>21</v>
      </c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t="s">
        <v>414</v>
      </c>
      <c r="B12" t="s">
        <v>415</v>
      </c>
      <c r="C12" t="s">
        <v>409</v>
      </c>
      <c r="D12" s="8">
        <v>16</v>
      </c>
      <c r="E12" s="9">
        <v>362.91</v>
      </c>
      <c r="F12" s="8">
        <v>80</v>
      </c>
      <c r="G12" s="10"/>
      <c r="H12" s="9" t="str">
        <f>IF(G12="","",E12*G12)</f>
        <v/>
      </c>
      <c r="I12" s="11" t="str">
        <f>HYPERLINK("https://optomposuda.ru/product/lotok-1l-s-plastmassovoy-kryshkoy-bez-ris-175h175h65mm-01-2507p","открыть")</f>
        <v>открыть</v>
      </c>
    </row>
    <row r="13" spans="1:9" x14ac:dyDescent="0.25">
      <c r="A13" t="s">
        <v>416</v>
      </c>
      <c r="B13" t="s">
        <v>417</v>
      </c>
      <c r="C13" t="s">
        <v>409</v>
      </c>
      <c r="D13" s="8">
        <v>16</v>
      </c>
      <c r="E13" s="9">
        <v>434.15</v>
      </c>
      <c r="F13" s="8">
        <v>129</v>
      </c>
      <c r="G13" s="10"/>
      <c r="H13" s="9" t="str">
        <f>IF(G13="","",E13*G13)</f>
        <v/>
      </c>
      <c r="I13" s="11" t="str">
        <f>HYPERLINK("https://optomposuda.ru/product/lotok-1l-s-plastmassovoy-kryshkoy-s-ris-175h175h65mm-01-2507p-4","открыть")</f>
        <v>открыть</v>
      </c>
    </row>
    <row r="14" spans="1:9" x14ac:dyDescent="0.25">
      <c r="A14" s="7" t="s">
        <v>354</v>
      </c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t="s">
        <v>418</v>
      </c>
      <c r="B15" t="s">
        <v>419</v>
      </c>
      <c r="C15" t="s">
        <v>409</v>
      </c>
      <c r="D15" s="8">
        <v>1</v>
      </c>
      <c r="E15" s="9">
        <v>2953.21</v>
      </c>
      <c r="F15" s="8">
        <v>11</v>
      </c>
      <c r="G15" s="10"/>
      <c r="H15" s="9" t="str">
        <f>IF(G15="","",E15*G15)</f>
        <v/>
      </c>
      <c r="I15" s="11" t="str">
        <f>HYPERLINK("https://optomposuda.ru/product/nabor-zefir-kastr-sferich-2l-3l-4l-rozovyy-goluboy-salatovyy-v-razlichnoy-komplektacii-10-","открыть")</f>
        <v>открыть</v>
      </c>
    </row>
    <row r="16" spans="1:9" x14ac:dyDescent="0.25">
      <c r="A16" t="s">
        <v>420</v>
      </c>
      <c r="B16" t="s">
        <v>421</v>
      </c>
      <c r="C16" t="s">
        <v>409</v>
      </c>
      <c r="D16" s="8">
        <v>1</v>
      </c>
      <c r="E16" s="9">
        <v>2380.94</v>
      </c>
      <c r="F16" s="8">
        <v>5</v>
      </c>
      <c r="G16" s="10"/>
      <c r="H16" s="9" t="str">
        <f>IF(G16="","",E16*G16)</f>
        <v/>
      </c>
      <c r="I16" s="11" t="str">
        <f>HYPERLINK("https://optomposuda.ru/product/nabor-krokusy-k-cil-2l-3l-4l-belyy-2-3127-4","открыть")</f>
        <v>открыть</v>
      </c>
    </row>
    <row r="17" spans="1:9" x14ac:dyDescent="0.25">
      <c r="A17" t="s">
        <v>422</v>
      </c>
      <c r="B17" t="s">
        <v>423</v>
      </c>
      <c r="C17" t="s">
        <v>409</v>
      </c>
      <c r="D17" s="8">
        <v>1</v>
      </c>
      <c r="E17" s="9">
        <v>1361.45</v>
      </c>
      <c r="F17" s="8">
        <v>3</v>
      </c>
      <c r="G17" s="10"/>
      <c r="H17" s="9" t="str">
        <f>IF(G17="","",E17*G17)</f>
        <v/>
      </c>
      <c r="I17" s="11" t="str">
        <f>HYPERLINK("https://optomposuda.ru/product/nabor-hurma-belyy-2-207-4","открыть")</f>
        <v>открыть</v>
      </c>
    </row>
    <row r="18" spans="1:9" x14ac:dyDescent="0.25">
      <c r="A18" t="s">
        <v>424</v>
      </c>
      <c r="B18" t="s">
        <v>425</v>
      </c>
      <c r="C18" t="s">
        <v>409</v>
      </c>
      <c r="D18" s="8">
        <v>1</v>
      </c>
      <c r="E18" s="9">
        <v>1401.18</v>
      </c>
      <c r="F18" s="8">
        <v>12</v>
      </c>
      <c r="G18" s="10"/>
      <c r="H18" s="9" t="str">
        <f>IF(G18="","",E18*G18)</f>
        <v/>
      </c>
      <c r="I18" s="11" t="str">
        <f>HYPERLINK("https://optomposuda.ru/product/nabor-hurma-belyy-2-208-4","открыть")</f>
        <v>открыть</v>
      </c>
    </row>
    <row r="19" spans="1:9" x14ac:dyDescent="0.25">
      <c r="A19" t="s">
        <v>426</v>
      </c>
      <c r="B19" t="s">
        <v>427</v>
      </c>
      <c r="C19" t="s">
        <v>409</v>
      </c>
      <c r="D19" s="8">
        <v>1</v>
      </c>
      <c r="E19" s="9">
        <v>2450.51</v>
      </c>
      <c r="F19" s="8">
        <v>8</v>
      </c>
      <c r="G19" s="10"/>
      <c r="H19" s="9" t="str">
        <f>IF(G19="","",E19*G19)</f>
        <v/>
      </c>
      <c r="I19" s="11" t="str">
        <f>HYPERLINK("https://optomposuda.ru/product/nabor-organic-belyy-2-3214-4","открыть")</f>
        <v>открыть</v>
      </c>
    </row>
    <row r="20" spans="1:9" x14ac:dyDescent="0.25">
      <c r="A20" s="7" t="s">
        <v>145</v>
      </c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t="s">
        <v>428</v>
      </c>
      <c r="B21" t="s">
        <v>429</v>
      </c>
      <c r="C21" t="s">
        <v>409</v>
      </c>
      <c r="D21" s="8">
        <v>1</v>
      </c>
      <c r="E21" s="9">
        <v>2425.01</v>
      </c>
      <c r="F21" s="8">
        <v>15</v>
      </c>
      <c r="G21" s="10"/>
      <c r="H21" s="9" t="str">
        <f>IF(G21="","",E21*G21)</f>
        <v/>
      </c>
      <c r="I21" s="11" t="str">
        <f>HYPERLINK("https://optomposuda.ru/product/bak-32l-r-2829-bez-ris-diametr-40sm-vysota-28sm","открыть")</f>
        <v>открыть</v>
      </c>
    </row>
    <row r="22" spans="1:9" x14ac:dyDescent="0.25">
      <c r="A22" t="s">
        <v>430</v>
      </c>
      <c r="B22" t="s">
        <v>431</v>
      </c>
      <c r="C22" t="s">
        <v>409</v>
      </c>
      <c r="D22" s="8">
        <v>12</v>
      </c>
      <c r="E22" s="9">
        <v>396.06</v>
      </c>
      <c r="F22" s="8">
        <v>284</v>
      </c>
      <c r="G22" s="10"/>
      <c r="H22" s="9" t="str">
        <f>IF(G22="","",E22*G22)</f>
        <v/>
      </c>
      <c r="I22" s="11" t="str">
        <f>HYPERLINK("https://optomposuda.ru/product/kastryulya-1-5l-bez-ris-01-1608","открыть")</f>
        <v>открыть</v>
      </c>
    </row>
    <row r="23" spans="1:9" x14ac:dyDescent="0.25">
      <c r="A23" t="s">
        <v>432</v>
      </c>
      <c r="B23" t="s">
        <v>433</v>
      </c>
      <c r="C23" t="s">
        <v>409</v>
      </c>
      <c r="D23" s="8">
        <v>12</v>
      </c>
      <c r="E23" s="9">
        <v>460.14</v>
      </c>
      <c r="F23" s="8">
        <v>237</v>
      </c>
      <c r="G23" s="10"/>
      <c r="H23" s="9" t="str">
        <f>IF(G23="","",E23*G23)</f>
        <v/>
      </c>
      <c r="I23" s="11" t="str">
        <f>HYPERLINK("https://optomposuda.ru/product/kastryulya-1-5l-s-ris-01-1608-4","открыть")</f>
        <v>открыть</v>
      </c>
    </row>
    <row r="24" spans="1:9" x14ac:dyDescent="0.25">
      <c r="A24" t="s">
        <v>434</v>
      </c>
      <c r="B24" t="s">
        <v>435</v>
      </c>
      <c r="C24" t="s">
        <v>409</v>
      </c>
      <c r="D24" s="8">
        <v>2</v>
      </c>
      <c r="E24" s="9">
        <v>1140.86</v>
      </c>
      <c r="F24" s="8">
        <v>30</v>
      </c>
      <c r="G24" s="10"/>
      <c r="H24" s="9" t="str">
        <f>IF(G24="","",E24*G24)</f>
        <v/>
      </c>
      <c r="I24" s="11" t="str">
        <f>HYPERLINK("https://optomposuda.ru/product/kastryulya-11-5l-bez-ris-20-21-1623","открыть")</f>
        <v>открыть</v>
      </c>
    </row>
    <row r="25" spans="1:9" x14ac:dyDescent="0.25">
      <c r="A25" t="s">
        <v>436</v>
      </c>
      <c r="B25" t="s">
        <v>437</v>
      </c>
      <c r="C25" t="s">
        <v>409</v>
      </c>
      <c r="D25" s="8">
        <v>2</v>
      </c>
      <c r="E25" s="9">
        <v>1283.63</v>
      </c>
      <c r="F25" s="8">
        <v>58</v>
      </c>
      <c r="G25" s="10"/>
      <c r="H25" s="9" t="str">
        <f>IF(G25="","",E25*G25)</f>
        <v/>
      </c>
      <c r="I25" s="11" t="str">
        <f>HYPERLINK("https://optomposuda.ru/product/kastryulya-11-5l-s-ris-01-02-20-21-1623-4","открыть")</f>
        <v>открыть</v>
      </c>
    </row>
    <row r="26" spans="1:9" x14ac:dyDescent="0.25">
      <c r="A26" t="s">
        <v>438</v>
      </c>
      <c r="B26" t="s">
        <v>439</v>
      </c>
      <c r="C26" t="s">
        <v>409</v>
      </c>
      <c r="D26" s="8">
        <v>10</v>
      </c>
      <c r="E26" s="9">
        <v>221.24</v>
      </c>
      <c r="F26" s="8">
        <v>7</v>
      </c>
      <c r="G26" s="10"/>
      <c r="H26" s="9" t="str">
        <f>IF(G26="","",E26*G26)</f>
        <v/>
      </c>
      <c r="I26" s="11" t="str">
        <f>HYPERLINK("https://optomposuda.ru/product/kastryulya-1l-01-1607-bez-ris","открыть")</f>
        <v>открыть</v>
      </c>
    </row>
    <row r="27" spans="1:9" x14ac:dyDescent="0.25">
      <c r="A27" t="s">
        <v>440</v>
      </c>
      <c r="B27" t="s">
        <v>441</v>
      </c>
      <c r="C27" t="s">
        <v>409</v>
      </c>
      <c r="D27" s="8">
        <v>8</v>
      </c>
      <c r="E27" s="9">
        <v>483.66</v>
      </c>
      <c r="F27" s="8">
        <v>117</v>
      </c>
      <c r="G27" s="10"/>
      <c r="H27" s="9" t="str">
        <f>IF(G27="","",E27*G27)</f>
        <v/>
      </c>
      <c r="I27" s="11" t="str">
        <f>HYPERLINK("https://optomposuda.ru/product/kastryulya-2l-bez-ris-01-1610-1","открыть")</f>
        <v>открыть</v>
      </c>
    </row>
    <row r="28" spans="1:9" x14ac:dyDescent="0.25">
      <c r="A28" t="s">
        <v>442</v>
      </c>
      <c r="B28" t="s">
        <v>443</v>
      </c>
      <c r="C28" t="s">
        <v>409</v>
      </c>
      <c r="D28" s="8">
        <v>8</v>
      </c>
      <c r="E28" s="9">
        <v>549.65</v>
      </c>
      <c r="F28" s="8">
        <v>19</v>
      </c>
      <c r="G28" s="10"/>
      <c r="H28" s="9" t="str">
        <f>IF(G28="","",E28*G28)</f>
        <v/>
      </c>
      <c r="I28" s="11" t="str">
        <f>HYPERLINK("https://optomposuda.ru/product/kastryulya-2l-s-ris-01-1610-1-4","открыть")</f>
        <v>открыть</v>
      </c>
    </row>
    <row r="29" spans="1:9" x14ac:dyDescent="0.25">
      <c r="A29" t="s">
        <v>444</v>
      </c>
      <c r="B29" t="s">
        <v>445</v>
      </c>
      <c r="C29" t="s">
        <v>409</v>
      </c>
      <c r="D29" s="8">
        <v>4</v>
      </c>
      <c r="E29" s="9">
        <v>567.48</v>
      </c>
      <c r="F29" s="8">
        <v>150</v>
      </c>
      <c r="G29" s="10"/>
      <c r="H29" s="9" t="str">
        <f>IF(G29="","",E29*G29)</f>
        <v/>
      </c>
      <c r="I29" s="11" t="str">
        <f>HYPERLINK("https://optomposuda.ru/product/kastryulya-3-0-l-bez-ris-emal-01-1612","открыть")</f>
        <v>открыть</v>
      </c>
    </row>
    <row r="30" spans="1:9" x14ac:dyDescent="0.25">
      <c r="A30" t="s">
        <v>446</v>
      </c>
      <c r="B30" t="s">
        <v>447</v>
      </c>
      <c r="C30" t="s">
        <v>409</v>
      </c>
      <c r="D30" s="8">
        <v>4</v>
      </c>
      <c r="E30" s="9">
        <v>635.25</v>
      </c>
      <c r="F30" s="8">
        <v>1</v>
      </c>
      <c r="G30" s="10"/>
      <c r="H30" s="9" t="str">
        <f>IF(G30="","",E30*G30)</f>
        <v/>
      </c>
      <c r="I30" s="11" t="str">
        <f>HYPERLINK("https://optomposuda.ru/product/kastryulya-4-5l-bez-ris-01-02-1615","открыть")</f>
        <v>открыть</v>
      </c>
    </row>
    <row r="31" spans="1:9" x14ac:dyDescent="0.25">
      <c r="A31" t="s">
        <v>448</v>
      </c>
      <c r="B31" t="s">
        <v>449</v>
      </c>
      <c r="C31" t="s">
        <v>409</v>
      </c>
      <c r="D31" s="8">
        <v>4</v>
      </c>
      <c r="E31" s="9">
        <v>752.61</v>
      </c>
      <c r="F31" s="8">
        <v>147</v>
      </c>
      <c r="G31" s="10"/>
      <c r="H31" s="9" t="str">
        <f>IF(G31="","",E31*G31)</f>
        <v/>
      </c>
      <c r="I31" s="11" t="str">
        <f>HYPERLINK("https://optomposuda.ru/product/kastryulya-4-5l-s-ris-01-1615-4","открыть")</f>
        <v>открыть</v>
      </c>
    </row>
    <row r="32" spans="1:9" x14ac:dyDescent="0.25">
      <c r="A32" t="s">
        <v>450</v>
      </c>
      <c r="B32" t="s">
        <v>451</v>
      </c>
      <c r="C32" t="s">
        <v>409</v>
      </c>
      <c r="D32" s="8">
        <v>4</v>
      </c>
      <c r="E32" s="9">
        <v>640.82</v>
      </c>
      <c r="F32" s="8">
        <v>62</v>
      </c>
      <c r="G32" s="10"/>
      <c r="H32" s="9" t="str">
        <f>IF(G32="","",E32*G32)</f>
        <v/>
      </c>
      <c r="I32" s="11" t="str">
        <f>HYPERLINK("https://optomposuda.ru/product/kastryulya-4l-s-risunkom-01-b1614-4","открыть")</f>
        <v>открыть</v>
      </c>
    </row>
    <row r="33" spans="1:9" x14ac:dyDescent="0.25">
      <c r="A33" t="s">
        <v>452</v>
      </c>
      <c r="B33" t="s">
        <v>453</v>
      </c>
      <c r="C33" t="s">
        <v>409</v>
      </c>
      <c r="D33" s="8">
        <v>2</v>
      </c>
      <c r="E33" s="9">
        <v>969.18</v>
      </c>
      <c r="F33" s="8">
        <v>12</v>
      </c>
      <c r="G33" s="10"/>
      <c r="H33" s="9" t="str">
        <f>IF(G33="","",E33*G33)</f>
        <v/>
      </c>
      <c r="I33" s="11" t="str">
        <f>HYPERLINK("https://optomposuda.ru/product/kastryulya-7-5l-s-risunkom-01-02-03-20-1620-4","открыть")</f>
        <v>открыть</v>
      </c>
    </row>
    <row r="34" spans="1:9" x14ac:dyDescent="0.25">
      <c r="A34" t="s">
        <v>454</v>
      </c>
      <c r="B34" t="s">
        <v>455</v>
      </c>
      <c r="C34" t="s">
        <v>409</v>
      </c>
      <c r="D34" s="8">
        <v>2</v>
      </c>
      <c r="E34" s="9">
        <v>955.9</v>
      </c>
      <c r="F34" s="8">
        <v>22</v>
      </c>
      <c r="G34" s="10"/>
      <c r="H34" s="9" t="str">
        <f>IF(G34="","",E34*G34)</f>
        <v/>
      </c>
      <c r="I34" s="11" t="str">
        <f>HYPERLINK("https://optomposuda.ru/product/kastryulya-8-5l-bez-ris-20-1620","открыть")</f>
        <v>открыть</v>
      </c>
    </row>
    <row r="35" spans="1:9" x14ac:dyDescent="0.25">
      <c r="A35" t="s">
        <v>456</v>
      </c>
      <c r="B35" t="s">
        <v>457</v>
      </c>
      <c r="C35" t="s">
        <v>409</v>
      </c>
      <c r="D35" s="8">
        <v>2</v>
      </c>
      <c r="E35" s="9">
        <v>1068.77</v>
      </c>
      <c r="F35" s="8">
        <v>65</v>
      </c>
      <c r="G35" s="10"/>
      <c r="H35" s="9" t="str">
        <f>IF(G35="","",E35*G35)</f>
        <v/>
      </c>
      <c r="I35" s="11" t="str">
        <f>HYPERLINK("https://optomposuda.ru/product/kastryulya-8-5l-s-ris-20-1620-4","открыть")</f>
        <v>открыть</v>
      </c>
    </row>
    <row r="36" spans="1:9" x14ac:dyDescent="0.25">
      <c r="A36" t="s">
        <v>458</v>
      </c>
      <c r="B36" t="s">
        <v>459</v>
      </c>
      <c r="C36" t="s">
        <v>409</v>
      </c>
      <c r="D36" s="8">
        <v>2</v>
      </c>
      <c r="E36" s="9">
        <v>384.61</v>
      </c>
      <c r="F36" s="8">
        <v>2</v>
      </c>
      <c r="G36" s="10"/>
      <c r="H36" s="9" t="str">
        <f>IF(G36="","",E36*G36)</f>
        <v/>
      </c>
      <c r="I36" s="11" t="str">
        <f>HYPERLINK("https://optomposuda.ru/product/kastryulya-9-0l-bez-ris-01-1621","открыть")</f>
        <v>открыть</v>
      </c>
    </row>
    <row r="37" spans="1:9" x14ac:dyDescent="0.25">
      <c r="A37" t="s">
        <v>460</v>
      </c>
      <c r="B37" t="s">
        <v>461</v>
      </c>
      <c r="C37" t="s">
        <v>409</v>
      </c>
      <c r="D37" s="8">
        <v>12</v>
      </c>
      <c r="E37" s="9">
        <v>327.97</v>
      </c>
      <c r="F37" s="8">
        <v>174</v>
      </c>
      <c r="G37" s="10"/>
      <c r="H37" s="9" t="str">
        <f>IF(G37="","",E37*G37)</f>
        <v/>
      </c>
      <c r="I37" s="11" t="str">
        <f>HYPERLINK("https://optomposuda.ru/product/kovsh-1-5l-bez-ris-01-20-2008","открыть")</f>
        <v>открыть</v>
      </c>
    </row>
    <row r="38" spans="1:9" x14ac:dyDescent="0.25">
      <c r="A38" t="s">
        <v>462</v>
      </c>
      <c r="B38" t="s">
        <v>463</v>
      </c>
      <c r="C38" t="s">
        <v>409</v>
      </c>
      <c r="D38" s="8">
        <v>12</v>
      </c>
      <c r="E38" s="9">
        <v>388.33</v>
      </c>
      <c r="F38" s="8">
        <v>351</v>
      </c>
      <c r="G38" s="10"/>
      <c r="H38" s="9" t="str">
        <f>IF(G38="","",E38*G38)</f>
        <v/>
      </c>
      <c r="I38" s="11" t="str">
        <f>HYPERLINK("https://optomposuda.ru/product/kovsh-1-5l-s-ris-01-02-03-20-2008-4","открыть")</f>
        <v>открыть</v>
      </c>
    </row>
    <row r="39" spans="1:9" x14ac:dyDescent="0.25">
      <c r="A39" t="s">
        <v>464</v>
      </c>
      <c r="B39" t="s">
        <v>465</v>
      </c>
      <c r="C39" t="s">
        <v>409</v>
      </c>
      <c r="D39" s="8">
        <v>6</v>
      </c>
      <c r="E39" s="9">
        <v>578.23</v>
      </c>
      <c r="F39" s="8">
        <v>10</v>
      </c>
      <c r="G39" s="10"/>
      <c r="H39" s="9" t="str">
        <f>IF(G39="","",E39*G39)</f>
        <v/>
      </c>
      <c r="I39" s="11" t="str">
        <f>HYPERLINK("https://optomposuda.ru/product/kofeynik-2-0l-bez-ris-01-2110","открыть")</f>
        <v>открыть</v>
      </c>
    </row>
    <row r="40" spans="1:9" x14ac:dyDescent="0.25">
      <c r="A40" t="s">
        <v>466</v>
      </c>
      <c r="B40" t="s">
        <v>467</v>
      </c>
      <c r="C40" t="s">
        <v>409</v>
      </c>
      <c r="D40" s="8">
        <v>8</v>
      </c>
      <c r="E40" s="9">
        <v>711.13</v>
      </c>
      <c r="F40" s="8">
        <v>30</v>
      </c>
      <c r="G40" s="10"/>
      <c r="H40" s="9" t="str">
        <f>IF(G40="","",E40*G40)</f>
        <v/>
      </c>
      <c r="I40" s="11" t="str">
        <f>HYPERLINK("https://optomposuda.ru/product/chaynik-1-5l-01-06-2708-bez-ris","открыть")</f>
        <v>открыть</v>
      </c>
    </row>
    <row r="41" spans="1:9" x14ac:dyDescent="0.25">
      <c r="A41" t="s">
        <v>468</v>
      </c>
      <c r="B41" t="s">
        <v>469</v>
      </c>
      <c r="C41" t="s">
        <v>409</v>
      </c>
      <c r="D41" s="8">
        <v>4</v>
      </c>
      <c r="E41" s="9">
        <v>560.86</v>
      </c>
      <c r="F41" s="8">
        <v>2</v>
      </c>
      <c r="G41" s="10"/>
      <c r="H41" s="9" t="str">
        <f>IF(G41="","",E41*G41)</f>
        <v/>
      </c>
      <c r="I41" s="11" t="str">
        <f>HYPERLINK("https://optomposuda.ru/product/chaynik-2-0l-06r-2710-9-s-ris-ryabchik-vnutri","открыть")</f>
        <v>открыть</v>
      </c>
    </row>
    <row r="42" spans="1:9" x14ac:dyDescent="0.25">
      <c r="A42" t="s">
        <v>470</v>
      </c>
      <c r="B42" t="s">
        <v>471</v>
      </c>
      <c r="C42" t="s">
        <v>409</v>
      </c>
      <c r="D42" s="8">
        <v>4</v>
      </c>
      <c r="E42" s="9">
        <v>703.06</v>
      </c>
      <c r="F42" s="8">
        <v>964</v>
      </c>
      <c r="G42" s="10"/>
      <c r="H42" s="9" t="str">
        <f>IF(G42="","",E42*G42)</f>
        <v/>
      </c>
      <c r="I42" s="11" t="str">
        <f>HYPERLINK("https://optomposuda.ru/product/chaynik-2-5l-01-2711-bez-ris","открыть")</f>
        <v>открыть</v>
      </c>
    </row>
    <row r="43" spans="1:9" x14ac:dyDescent="0.25">
      <c r="A43" t="s">
        <v>472</v>
      </c>
      <c r="B43" t="s">
        <v>473</v>
      </c>
      <c r="C43" t="s">
        <v>409</v>
      </c>
      <c r="D43" s="8">
        <v>4</v>
      </c>
      <c r="E43" s="9">
        <v>761.76</v>
      </c>
      <c r="F43" s="8">
        <v>50</v>
      </c>
      <c r="G43" s="10"/>
      <c r="H43" s="9" t="str">
        <f>IF(G43="","",E43*G43)</f>
        <v/>
      </c>
      <c r="I43" s="11" t="str">
        <f>HYPERLINK("https://optomposuda.ru/product/chaynik-2-5l-01-2711-4-organic","открыть")</f>
        <v>открыть</v>
      </c>
    </row>
    <row r="44" spans="1:9" x14ac:dyDescent="0.25">
      <c r="A44" t="s">
        <v>474</v>
      </c>
      <c r="B44" t="s">
        <v>475</v>
      </c>
      <c r="C44" t="s">
        <v>409</v>
      </c>
      <c r="D44" s="8">
        <v>4</v>
      </c>
      <c r="E44" s="9">
        <v>767.69</v>
      </c>
      <c r="F44" s="8">
        <v>905</v>
      </c>
      <c r="G44" s="10"/>
      <c r="H44" s="9" t="str">
        <f>IF(G44="","",E44*G44)</f>
        <v/>
      </c>
      <c r="I44" s="11" t="str">
        <f>HYPERLINK("https://optomposuda.ru/product/chaynik-2-5l-01-2711-4-s-ris","открыть")</f>
        <v>открыть</v>
      </c>
    </row>
    <row r="45" spans="1:9" x14ac:dyDescent="0.25">
      <c r="A45" t="s">
        <v>476</v>
      </c>
      <c r="B45" t="s">
        <v>477</v>
      </c>
      <c r="C45" t="s">
        <v>409</v>
      </c>
      <c r="D45" s="8">
        <v>4</v>
      </c>
      <c r="E45" s="9">
        <v>767.69</v>
      </c>
      <c r="F45" s="8">
        <v>60</v>
      </c>
      <c r="G45" s="10"/>
      <c r="H45" s="9" t="str">
        <f>IF(G45="","",E45*G45)</f>
        <v/>
      </c>
      <c r="I45" s="11" t="str">
        <f>HYPERLINK("https://optomposuda.ru/product/chaynik-2-5l-01-01r-2711-4-s-ris","открыть")</f>
        <v>открыть</v>
      </c>
    </row>
    <row r="46" spans="1:9" x14ac:dyDescent="0.25">
      <c r="A46" t="s">
        <v>478</v>
      </c>
      <c r="B46" t="s">
        <v>479</v>
      </c>
      <c r="C46" t="s">
        <v>409</v>
      </c>
      <c r="D46" s="8">
        <v>4</v>
      </c>
      <c r="E46" s="9">
        <v>784.67</v>
      </c>
      <c r="F46" s="8">
        <v>145</v>
      </c>
      <c r="G46" s="10"/>
      <c r="H46" s="9" t="str">
        <f>IF(G46="","",E46*G46)</f>
        <v/>
      </c>
      <c r="I46" s="11" t="str">
        <f>HYPERLINK("https://optomposuda.ru/product/chaynik-3-5l-01-2713-4-arbuz","открыть")</f>
        <v>открыть</v>
      </c>
    </row>
    <row r="47" spans="1:9" x14ac:dyDescent="0.25">
      <c r="A47" t="s">
        <v>480</v>
      </c>
      <c r="B47" t="s">
        <v>481</v>
      </c>
      <c r="C47" t="s">
        <v>409</v>
      </c>
      <c r="D47" s="8">
        <v>4</v>
      </c>
      <c r="E47" s="9">
        <v>784.67</v>
      </c>
      <c r="F47" s="8">
        <v>82</v>
      </c>
      <c r="G47" s="10"/>
      <c r="H47" s="9" t="str">
        <f>IF(G47="","",E47*G47)</f>
        <v/>
      </c>
      <c r="I47" s="11" t="str">
        <f>HYPERLINK("https://optomposuda.ru/product/chaynik-3-5l-01-2713-4-ariadna","открыть")</f>
        <v>открыть</v>
      </c>
    </row>
    <row r="48" spans="1:9" x14ac:dyDescent="0.25">
      <c r="A48" t="s">
        <v>482</v>
      </c>
      <c r="B48" t="s">
        <v>483</v>
      </c>
      <c r="C48" t="s">
        <v>409</v>
      </c>
      <c r="D48" s="8">
        <v>4</v>
      </c>
      <c r="E48" s="9">
        <v>784.67</v>
      </c>
      <c r="F48" s="8">
        <v>97</v>
      </c>
      <c r="G48" s="10"/>
      <c r="H48" s="9" t="str">
        <f>IF(G48="","",E48*G48)</f>
        <v/>
      </c>
      <c r="I48" s="11" t="str">
        <f>HYPERLINK("https://optomposuda.ru/product/chaynik-3-5l-01-2713-4-varene","открыть")</f>
        <v>открыть</v>
      </c>
    </row>
    <row r="49" spans="1:9" x14ac:dyDescent="0.25">
      <c r="A49" t="s">
        <v>484</v>
      </c>
      <c r="B49" t="s">
        <v>485</v>
      </c>
      <c r="C49" t="s">
        <v>409</v>
      </c>
      <c r="D49" s="8">
        <v>4</v>
      </c>
      <c r="E49" s="9">
        <v>784.67</v>
      </c>
      <c r="F49" s="8">
        <v>33</v>
      </c>
      <c r="G49" s="10"/>
      <c r="H49" s="9" t="str">
        <f>IF(G49="","",E49*G49)</f>
        <v/>
      </c>
      <c r="I49" s="11" t="str">
        <f>HYPERLINK("https://optomposuda.ru/product/chaynik-3-5l-01-2713-4-vegan","открыть")</f>
        <v>открыть</v>
      </c>
    </row>
    <row r="50" spans="1:9" x14ac:dyDescent="0.25">
      <c r="A50" t="s">
        <v>486</v>
      </c>
      <c r="B50" t="s">
        <v>487</v>
      </c>
      <c r="C50" t="s">
        <v>409</v>
      </c>
      <c r="D50" s="8">
        <v>4</v>
      </c>
      <c r="E50" s="9">
        <v>784.67</v>
      </c>
      <c r="F50" s="8">
        <v>60</v>
      </c>
      <c r="G50" s="10"/>
      <c r="H50" s="9" t="str">
        <f>IF(G50="","",E50*G50)</f>
        <v/>
      </c>
      <c r="I50" s="11" t="str">
        <f>HYPERLINK("https://optomposuda.ru/product/chaynik-3-5l-01-2713-4-granaty","открыть")</f>
        <v>открыть</v>
      </c>
    </row>
    <row r="51" spans="1:9" x14ac:dyDescent="0.25">
      <c r="A51" t="s">
        <v>488</v>
      </c>
      <c r="B51" t="s">
        <v>489</v>
      </c>
      <c r="C51" t="s">
        <v>409</v>
      </c>
      <c r="D51" s="8">
        <v>4</v>
      </c>
      <c r="E51" s="9">
        <v>784.67</v>
      </c>
      <c r="F51" s="8">
        <v>98</v>
      </c>
      <c r="G51" s="10"/>
      <c r="H51" s="9" t="str">
        <f>IF(G51="","",E51*G51)</f>
        <v/>
      </c>
      <c r="I51" s="11" t="str">
        <f>HYPERLINK("https://optomposuda.ru/product/chaynik-3-5l-01-2713-4-iogurt-g","открыть")</f>
        <v>открыть</v>
      </c>
    </row>
    <row r="52" spans="1:9" x14ac:dyDescent="0.25">
      <c r="A52" t="s">
        <v>490</v>
      </c>
      <c r="B52" t="s">
        <v>491</v>
      </c>
      <c r="C52" t="s">
        <v>409</v>
      </c>
      <c r="D52" s="8">
        <v>4</v>
      </c>
      <c r="E52" s="9">
        <v>784.67</v>
      </c>
      <c r="F52" s="8">
        <v>124</v>
      </c>
      <c r="G52" s="10"/>
      <c r="H52" s="9" t="str">
        <f>IF(G52="","",E52*G52)</f>
        <v/>
      </c>
      <c r="I52" s="11" t="str">
        <f>HYPERLINK("https://optomposuda.ru/product/chaynik-3-5l-01-2713-4-klubnika-d","открыть")</f>
        <v>открыть</v>
      </c>
    </row>
    <row r="53" spans="1:9" x14ac:dyDescent="0.25">
      <c r="A53" t="s">
        <v>492</v>
      </c>
      <c r="B53" t="s">
        <v>493</v>
      </c>
      <c r="C53" t="s">
        <v>409</v>
      </c>
      <c r="D53" s="8">
        <v>4</v>
      </c>
      <c r="E53" s="9">
        <v>784.67</v>
      </c>
      <c r="F53" s="8">
        <v>4</v>
      </c>
      <c r="G53" s="10"/>
      <c r="H53" s="9" t="str">
        <f>IF(G53="","",E53*G53)</f>
        <v/>
      </c>
      <c r="I53" s="11" t="str">
        <f>HYPERLINK("https://optomposuda.ru/product/chaynik-3-5l-01-2713-4-klubnichnaya-polyana-g","открыть")</f>
        <v>открыть</v>
      </c>
    </row>
    <row r="54" spans="1:9" x14ac:dyDescent="0.25">
      <c r="A54" t="s">
        <v>494</v>
      </c>
      <c r="B54" t="s">
        <v>495</v>
      </c>
      <c r="C54" t="s">
        <v>409</v>
      </c>
      <c r="D54" s="8">
        <v>4</v>
      </c>
      <c r="E54" s="9">
        <v>784.67</v>
      </c>
      <c r="F54" s="8">
        <v>182</v>
      </c>
      <c r="G54" s="10"/>
      <c r="H54" s="9" t="str">
        <f>IF(G54="","",E54*G54)</f>
        <v/>
      </c>
      <c r="I54" s="11" t="str">
        <f>HYPERLINK("https://optomposuda.ru/product/chaynik-3-5l-01-2713-4-koty","открыть")</f>
        <v>открыть</v>
      </c>
    </row>
    <row r="55" spans="1:9" x14ac:dyDescent="0.25">
      <c r="A55" t="s">
        <v>496</v>
      </c>
      <c r="B55" t="s">
        <v>497</v>
      </c>
      <c r="C55" t="s">
        <v>409</v>
      </c>
      <c r="D55" s="8">
        <v>4</v>
      </c>
      <c r="E55" s="9">
        <v>808.96</v>
      </c>
      <c r="F55" s="8">
        <v>140</v>
      </c>
      <c r="G55" s="10"/>
      <c r="H55" s="9" t="str">
        <f>IF(G55="","",E55*G55)</f>
        <v/>
      </c>
      <c r="I55" s="11" t="str">
        <f>HYPERLINK("https://optomposuda.ru/product/chaynik-3-5l-01-2713-4-lavanda-g","открыть")</f>
        <v>открыть</v>
      </c>
    </row>
    <row r="56" spans="1:9" x14ac:dyDescent="0.25">
      <c r="A56" t="s">
        <v>498</v>
      </c>
      <c r="B56" t="s">
        <v>499</v>
      </c>
      <c r="C56" t="s">
        <v>409</v>
      </c>
      <c r="D56" s="8">
        <v>4</v>
      </c>
      <c r="E56" s="9">
        <v>784.67</v>
      </c>
      <c r="F56" s="8">
        <v>40</v>
      </c>
      <c r="G56" s="10"/>
      <c r="H56" s="9" t="str">
        <f>IF(G56="","",E56*G56)</f>
        <v/>
      </c>
      <c r="I56" s="11" t="str">
        <f>HYPERLINK("https://optomposuda.ru/product/chaynik-3-5l-01-2713-4-limony","открыть")</f>
        <v>открыть</v>
      </c>
    </row>
    <row r="57" spans="1:9" x14ac:dyDescent="0.25">
      <c r="A57" t="s">
        <v>500</v>
      </c>
      <c r="B57" t="s">
        <v>501</v>
      </c>
      <c r="C57" t="s">
        <v>409</v>
      </c>
      <c r="D57" s="8">
        <v>4</v>
      </c>
      <c r="E57" s="9">
        <v>801.29</v>
      </c>
      <c r="F57" s="8">
        <v>135</v>
      </c>
      <c r="G57" s="10"/>
      <c r="H57" s="9" t="str">
        <f>IF(G57="","",E57*G57)</f>
        <v/>
      </c>
      <c r="I57" s="11" t="str">
        <f>HYPERLINK("https://optomposuda.ru/product/chaynik-3-5l-01-2713-4-lugovoy-mak","открыть")</f>
        <v>открыть</v>
      </c>
    </row>
    <row r="58" spans="1:9" x14ac:dyDescent="0.25">
      <c r="A58" t="s">
        <v>502</v>
      </c>
      <c r="B58" t="s">
        <v>503</v>
      </c>
      <c r="C58" t="s">
        <v>409</v>
      </c>
      <c r="D58" s="8">
        <v>4</v>
      </c>
      <c r="E58" s="9">
        <v>784.67</v>
      </c>
      <c r="F58" s="8">
        <v>165</v>
      </c>
      <c r="G58" s="10"/>
      <c r="H58" s="9" t="str">
        <f>IF(G58="","",E58*G58)</f>
        <v/>
      </c>
      <c r="I58" s="11" t="str">
        <f>HYPERLINK("https://optomposuda.ru/product/chaynik-3-5l-01-2713-4-malina","открыть")</f>
        <v>открыть</v>
      </c>
    </row>
    <row r="59" spans="1:9" x14ac:dyDescent="0.25">
      <c r="A59" t="s">
        <v>504</v>
      </c>
      <c r="B59" t="s">
        <v>505</v>
      </c>
      <c r="C59" t="s">
        <v>409</v>
      </c>
      <c r="D59" s="8">
        <v>4</v>
      </c>
      <c r="E59" s="9">
        <v>723.24</v>
      </c>
      <c r="F59" s="8">
        <v>84</v>
      </c>
      <c r="G59" s="10"/>
      <c r="H59" s="9" t="str">
        <f>IF(G59="","",E59*G59)</f>
        <v/>
      </c>
      <c r="I59" s="11" t="str">
        <f>HYPERLINK("https://optomposuda.ru/product/chaynik-3-5l-01-2713-4-morskoy","открыть")</f>
        <v>открыть</v>
      </c>
    </row>
    <row r="60" spans="1:9" x14ac:dyDescent="0.25">
      <c r="A60" t="s">
        <v>506</v>
      </c>
      <c r="B60" t="s">
        <v>507</v>
      </c>
      <c r="C60" t="s">
        <v>409</v>
      </c>
      <c r="D60" s="8">
        <v>4</v>
      </c>
      <c r="E60" s="9">
        <v>784.67</v>
      </c>
      <c r="F60" s="8">
        <v>55</v>
      </c>
      <c r="G60" s="10"/>
      <c r="H60" s="9" t="str">
        <f>IF(G60="","",E60*G60)</f>
        <v/>
      </c>
      <c r="I60" s="11" t="str">
        <f>HYPERLINK("https://optomposuda.ru/product/chaynik-3-5l-01-2713-4-persiki","открыть")</f>
        <v>открыть</v>
      </c>
    </row>
    <row r="61" spans="1:9" x14ac:dyDescent="0.25">
      <c r="A61" t="s">
        <v>508</v>
      </c>
      <c r="B61" t="s">
        <v>509</v>
      </c>
      <c r="C61" t="s">
        <v>409</v>
      </c>
      <c r="D61" s="8">
        <v>4</v>
      </c>
      <c r="E61" s="9">
        <v>784.67</v>
      </c>
      <c r="F61" s="8">
        <v>97</v>
      </c>
      <c r="G61" s="10"/>
      <c r="H61" s="9" t="str">
        <f>IF(G61="","",E61*G61)</f>
        <v/>
      </c>
      <c r="I61" s="11" t="str">
        <f>HYPERLINK("https://optomposuda.ru/product/chaynik-3-5l-01-2713-4-pion-m","открыть")</f>
        <v>открыть</v>
      </c>
    </row>
    <row r="62" spans="1:9" x14ac:dyDescent="0.25">
      <c r="A62" t="s">
        <v>510</v>
      </c>
      <c r="B62" t="s">
        <v>511</v>
      </c>
      <c r="C62" t="s">
        <v>409</v>
      </c>
      <c r="D62" s="8">
        <v>4</v>
      </c>
      <c r="E62" s="9">
        <v>784.67</v>
      </c>
      <c r="F62" s="8">
        <v>76</v>
      </c>
      <c r="G62" s="10"/>
      <c r="H62" s="9" t="str">
        <f>IF(G62="","",E62*G62)</f>
        <v/>
      </c>
      <c r="I62" s="11" t="str">
        <f>HYPERLINK("https://optomposuda.ru/product/chaynik-3-5l-01-2713-4-podsolnuhi","открыть")</f>
        <v>открыть</v>
      </c>
    </row>
    <row r="63" spans="1:9" x14ac:dyDescent="0.25">
      <c r="A63" t="s">
        <v>512</v>
      </c>
      <c r="B63" t="s">
        <v>513</v>
      </c>
      <c r="C63" t="s">
        <v>409</v>
      </c>
      <c r="D63" s="8">
        <v>4</v>
      </c>
      <c r="E63" s="9">
        <v>784.67</v>
      </c>
      <c r="F63" s="8">
        <v>145</v>
      </c>
      <c r="G63" s="10"/>
      <c r="H63" s="9" t="str">
        <f>IF(G63="","",E63*G63)</f>
        <v/>
      </c>
      <c r="I63" s="11" t="str">
        <f>HYPERLINK("https://optomposuda.ru/product/chaynik-3-5l-01-2713-4-svezhest","открыть")</f>
        <v>открыть</v>
      </c>
    </row>
    <row r="64" spans="1:9" x14ac:dyDescent="0.25">
      <c r="A64" t="s">
        <v>514</v>
      </c>
      <c r="B64" t="s">
        <v>515</v>
      </c>
      <c r="C64" t="s">
        <v>409</v>
      </c>
      <c r="D64" s="8">
        <v>4</v>
      </c>
      <c r="E64" s="9">
        <v>784.67</v>
      </c>
      <c r="F64" s="8">
        <v>79</v>
      </c>
      <c r="G64" s="10"/>
      <c r="H64" s="9" t="str">
        <f>IF(G64="","",E64*G64)</f>
        <v/>
      </c>
      <c r="I64" s="11" t="str">
        <f>HYPERLINK("https://optomposuda.ru/product/chaynik-3-5l-01-2713-4-smorodina","открыть")</f>
        <v>открыть</v>
      </c>
    </row>
    <row r="65" spans="1:9" x14ac:dyDescent="0.25">
      <c r="A65" t="s">
        <v>516</v>
      </c>
      <c r="B65" t="s">
        <v>517</v>
      </c>
      <c r="C65" t="s">
        <v>409</v>
      </c>
      <c r="D65" s="8">
        <v>4</v>
      </c>
      <c r="E65" s="9">
        <v>784.67</v>
      </c>
      <c r="F65" s="8">
        <v>132</v>
      </c>
      <c r="G65" s="10"/>
      <c r="H65" s="9" t="str">
        <f>IF(G65="","",E65*G65)</f>
        <v/>
      </c>
      <c r="I65" s="11" t="str">
        <f>HYPERLINK("https://optomposuda.ru/product/chaynik-3-5l-01-2713-4-tyulpany","открыть")</f>
        <v>открыть</v>
      </c>
    </row>
    <row r="66" spans="1:9" x14ac:dyDescent="0.25">
      <c r="A66" t="s">
        <v>518</v>
      </c>
      <c r="B66" t="s">
        <v>519</v>
      </c>
      <c r="C66" t="s">
        <v>409</v>
      </c>
      <c r="D66" s="8">
        <v>4</v>
      </c>
      <c r="E66" s="9">
        <v>784.67</v>
      </c>
      <c r="F66" s="8">
        <v>112</v>
      </c>
      <c r="G66" s="10"/>
      <c r="H66" s="9" t="str">
        <f>IF(G66="","",E66*G66)</f>
        <v/>
      </c>
      <c r="I66" s="11" t="str">
        <f>HYPERLINK("https://optomposuda.ru/product/chaynik-3-5l-01-2713-4-cvetochki","открыть")</f>
        <v>открыть</v>
      </c>
    </row>
    <row r="67" spans="1:9" x14ac:dyDescent="0.25">
      <c r="A67" t="s">
        <v>520</v>
      </c>
      <c r="B67" t="s">
        <v>521</v>
      </c>
      <c r="C67" t="s">
        <v>409</v>
      </c>
      <c r="D67" s="8">
        <v>4</v>
      </c>
      <c r="E67" s="9">
        <v>852.84</v>
      </c>
      <c r="F67" s="8">
        <v>168</v>
      </c>
      <c r="G67" s="10"/>
      <c r="H67" s="9" t="str">
        <f>IF(G67="","",E67*G67)</f>
        <v/>
      </c>
      <c r="I67" s="11" t="str">
        <f>HYPERLINK("https://optomposuda.ru/product/chaynik-3-5l-01-2713-4-kitchen","открыть")</f>
        <v>открыть</v>
      </c>
    </row>
    <row r="68" spans="1:9" x14ac:dyDescent="0.25">
      <c r="A68" t="s">
        <v>522</v>
      </c>
      <c r="B68" t="s">
        <v>523</v>
      </c>
      <c r="C68" t="s">
        <v>409</v>
      </c>
      <c r="D68" s="8">
        <v>4</v>
      </c>
      <c r="E68" s="9">
        <v>824.45</v>
      </c>
      <c r="F68" s="8">
        <v>217</v>
      </c>
      <c r="G68" s="10"/>
      <c r="H68" s="9" t="str">
        <f>IF(G68="","",E68*G68)</f>
        <v/>
      </c>
      <c r="I68" s="11" t="str">
        <f>HYPERLINK("https://optomposuda.ru/product/chaynik-3-5l-01-2713-4-organic","открыть")</f>
        <v>открыть</v>
      </c>
    </row>
    <row r="69" spans="1:9" x14ac:dyDescent="0.25">
      <c r="A69" s="7" t="s">
        <v>74</v>
      </c>
      <c r="B69" s="7"/>
      <c r="C69" s="7"/>
      <c r="D69" s="7"/>
      <c r="E69" s="7"/>
      <c r="F69" s="7"/>
      <c r="G69" s="7"/>
      <c r="H69" s="7"/>
      <c r="I69" s="7"/>
    </row>
    <row r="70" spans="1:9" x14ac:dyDescent="0.25">
      <c r="A70" t="s">
        <v>524</v>
      </c>
      <c r="B70" t="s">
        <v>525</v>
      </c>
      <c r="C70" t="s">
        <v>409</v>
      </c>
      <c r="D70" s="8">
        <v>12</v>
      </c>
      <c r="E70" s="9">
        <v>414.73</v>
      </c>
      <c r="F70" s="8">
        <v>8</v>
      </c>
      <c r="G70" s="10"/>
      <c r="H70" s="9" t="str">
        <f>IF(G70="","",E70*G70)</f>
        <v/>
      </c>
      <c r="I70" s="11" t="str">
        <f>HYPERLINK("https://optomposuda.ru/product/blyudo-2l-s-ris-01-0810-a-7-a1-7-a6-7","открыть")</f>
        <v>открыть</v>
      </c>
    </row>
    <row r="71" spans="1:9" x14ac:dyDescent="0.25">
      <c r="A71" t="s">
        <v>526</v>
      </c>
      <c r="B71" t="s">
        <v>527</v>
      </c>
      <c r="C71" t="s">
        <v>409</v>
      </c>
      <c r="D71" s="8">
        <v>12</v>
      </c>
      <c r="E71" s="9">
        <v>369.78</v>
      </c>
      <c r="F71" s="8">
        <v>3</v>
      </c>
      <c r="G71" s="10"/>
      <c r="H71" s="9" t="str">
        <f>IF(G71="","",E71*G71)</f>
        <v/>
      </c>
      <c r="I71" s="11" t="str">
        <f>HYPERLINK("https://optomposuda.ru/product/blyudo-3l-s-ris-01-0812-4","открыть")</f>
        <v>открыть</v>
      </c>
    </row>
    <row r="72" spans="1:9" x14ac:dyDescent="0.25">
      <c r="A72" t="s">
        <v>528</v>
      </c>
      <c r="B72" t="s">
        <v>529</v>
      </c>
      <c r="C72" t="s">
        <v>409</v>
      </c>
      <c r="D72" s="8">
        <v>12</v>
      </c>
      <c r="E72" s="9">
        <v>414.73</v>
      </c>
      <c r="F72" s="8">
        <v>5</v>
      </c>
      <c r="G72" s="10"/>
      <c r="H72" s="9" t="str">
        <f>IF(G72="","",E72*G72)</f>
        <v/>
      </c>
      <c r="I72" s="11" t="str">
        <f>HYPERLINK("https://optomposuda.ru/product/blyudo-3l-s-ris-01-0812-7","открыть")</f>
        <v>открыть</v>
      </c>
    </row>
    <row r="73" spans="1:9" x14ac:dyDescent="0.25">
      <c r="A73" t="s">
        <v>530</v>
      </c>
      <c r="B73" t="s">
        <v>531</v>
      </c>
      <c r="C73" t="s">
        <v>409</v>
      </c>
      <c r="D73" s="8">
        <v>48</v>
      </c>
      <c r="E73" s="9">
        <v>206.56</v>
      </c>
      <c r="F73" s="8">
        <v>8</v>
      </c>
      <c r="G73" s="10"/>
      <c r="H73" s="9" t="str">
        <f>IF(G73="","",E73*G73)</f>
        <v/>
      </c>
      <c r="I73" s="11" t="str">
        <f>HYPERLINK("https://optomposuda.ru/product/kruzhka-0-25l-09-17-0102ch","открыть")</f>
        <v>открыть</v>
      </c>
    </row>
    <row r="74" spans="1:9" x14ac:dyDescent="0.25">
      <c r="A74" t="s">
        <v>532</v>
      </c>
      <c r="B74" t="s">
        <v>533</v>
      </c>
      <c r="C74" t="s">
        <v>409</v>
      </c>
      <c r="D74" s="8">
        <v>36</v>
      </c>
      <c r="E74" s="9">
        <v>250.69</v>
      </c>
      <c r="F74" s="8">
        <v>451</v>
      </c>
      <c r="G74" s="10"/>
      <c r="H74" s="9" t="str">
        <f>IF(G74="","",E74*G74)</f>
        <v/>
      </c>
      <c r="I74" s="11" t="str">
        <f>HYPERLINK("https://optomposuda.ru/product/kruzhka-0-4l-bordovaya-glyancevaya-bez-ris-06-0103","открыть")</f>
        <v>открыть</v>
      </c>
    </row>
    <row r="75" spans="1:9" x14ac:dyDescent="0.25">
      <c r="A75" t="s">
        <v>534</v>
      </c>
      <c r="B75" t="s">
        <v>535</v>
      </c>
      <c r="C75" t="s">
        <v>409</v>
      </c>
      <c r="D75" s="8">
        <v>36</v>
      </c>
      <c r="E75" s="9">
        <v>265.36</v>
      </c>
      <c r="F75" s="8">
        <v>291</v>
      </c>
      <c r="G75" s="10"/>
      <c r="H75" s="9" t="str">
        <f>IF(G75="","",E75*G75)</f>
        <v/>
      </c>
      <c r="I75" s="11" t="str">
        <f>HYPERLINK("https://optomposuda.ru/product/kruzhka-0-4l-zelenaya-glyancevaya-bez-ris-19-0103ch","открыть")</f>
        <v>открыть</v>
      </c>
    </row>
    <row r="76" spans="1:9" x14ac:dyDescent="0.25">
      <c r="A76" t="s">
        <v>536</v>
      </c>
      <c r="B76" t="s">
        <v>537</v>
      </c>
      <c r="C76" t="s">
        <v>409</v>
      </c>
      <c r="D76" s="8">
        <v>36</v>
      </c>
      <c r="E76" s="9">
        <v>250.69</v>
      </c>
      <c r="F76" s="8">
        <v>442</v>
      </c>
      <c r="G76" s="10"/>
      <c r="H76" s="9" t="str">
        <f>IF(G76="","",E76*G76)</f>
        <v/>
      </c>
      <c r="I76" s="11" t="str">
        <f>HYPERLINK("https://optomposuda.ru/product/kruzhka-0-4l-kobaltovaya-glyancevaya-bez-ris-23-0103ch","открыть")</f>
        <v>открыть</v>
      </c>
    </row>
    <row r="77" spans="1:9" x14ac:dyDescent="0.25">
      <c r="A77" t="s">
        <v>538</v>
      </c>
      <c r="B77" t="s">
        <v>539</v>
      </c>
      <c r="C77" t="s">
        <v>409</v>
      </c>
      <c r="D77" s="8">
        <v>36</v>
      </c>
      <c r="E77" s="9">
        <v>250.69</v>
      </c>
      <c r="F77" s="8">
        <v>453</v>
      </c>
      <c r="G77" s="10"/>
      <c r="H77" s="9" t="str">
        <f>IF(G77="","",E77*G77)</f>
        <v/>
      </c>
      <c r="I77" s="11" t="str">
        <f>HYPERLINK("https://optomposuda.ru/product/kruzhka-0-4l-rozovaya-glyancevaya-bez-ris-17-0103","открыть")</f>
        <v>открыть</v>
      </c>
    </row>
    <row r="78" spans="1:9" x14ac:dyDescent="0.25">
      <c r="A78" t="s">
        <v>540</v>
      </c>
      <c r="B78" t="s">
        <v>541</v>
      </c>
      <c r="C78" t="s">
        <v>409</v>
      </c>
      <c r="D78" s="8">
        <v>36</v>
      </c>
      <c r="E78" s="9">
        <v>250.69</v>
      </c>
      <c r="F78" s="8">
        <v>396</v>
      </c>
      <c r="G78" s="10"/>
      <c r="H78" s="9" t="str">
        <f>IF(G78="","",E78*G78)</f>
        <v/>
      </c>
      <c r="I78" s="11" t="str">
        <f>HYPERLINK("https://optomposuda.ru/product/kruzhka-0-4l-sinyaya-glyancevaya-bez-ris-24-0103","открыть")</f>
        <v>открыть</v>
      </c>
    </row>
    <row r="79" spans="1:9" x14ac:dyDescent="0.25">
      <c r="A79" t="s">
        <v>542</v>
      </c>
      <c r="B79" t="s">
        <v>543</v>
      </c>
      <c r="C79" t="s">
        <v>409</v>
      </c>
      <c r="D79" s="8">
        <v>36</v>
      </c>
      <c r="E79" s="9">
        <v>250.69</v>
      </c>
      <c r="F79" s="8">
        <v>424</v>
      </c>
      <c r="G79" s="10"/>
      <c r="H79" s="9" t="str">
        <f>IF(G79="","",E79*G79)</f>
        <v/>
      </c>
      <c r="I79" s="11" t="str">
        <f>HYPERLINK("https://optomposuda.ru/product/kruzhka-0-4l-slivochnaya-glyancevaya-bez-ris-12-0103nch","открыть")</f>
        <v>открыть</v>
      </c>
    </row>
    <row r="80" spans="1:9" x14ac:dyDescent="0.25">
      <c r="A80" t="s">
        <v>544</v>
      </c>
      <c r="B80" t="s">
        <v>545</v>
      </c>
      <c r="C80" t="s">
        <v>409</v>
      </c>
      <c r="D80" s="8">
        <v>36</v>
      </c>
      <c r="E80" s="9">
        <v>250.69</v>
      </c>
      <c r="F80" s="8">
        <v>502</v>
      </c>
      <c r="G80" s="10"/>
      <c r="H80" s="9" t="str">
        <f>IF(G80="","",E80*G80)</f>
        <v/>
      </c>
      <c r="I80" s="11" t="str">
        <f>HYPERLINK("https://optomposuda.ru/product/kruzhka-0-4l-chernaya-glyancevaya-bez-ris-10-0103ch","открыть")</f>
        <v>открыть</v>
      </c>
    </row>
    <row r="81" spans="1:9" x14ac:dyDescent="0.25">
      <c r="A81" t="s">
        <v>546</v>
      </c>
      <c r="B81" t="s">
        <v>547</v>
      </c>
      <c r="C81" t="s">
        <v>409</v>
      </c>
      <c r="D81" s="8">
        <v>6</v>
      </c>
      <c r="E81" s="9">
        <v>614.72</v>
      </c>
      <c r="F81" s="8">
        <v>132</v>
      </c>
      <c r="G81" s="10"/>
      <c r="H81" s="9" t="str">
        <f>IF(G81="","",E81*G81)</f>
        <v/>
      </c>
      <c r="I81" s="11" t="str">
        <f>HYPERLINK("https://optomposuda.ru/product/kuvshin-2l-emal-bez-ris-01-12-0110","открыть")</f>
        <v>открыть</v>
      </c>
    </row>
    <row r="82" spans="1:9" x14ac:dyDescent="0.25">
      <c r="A82" t="s">
        <v>548</v>
      </c>
      <c r="B82" t="s">
        <v>549</v>
      </c>
      <c r="C82" t="s">
        <v>409</v>
      </c>
      <c r="D82" s="8">
        <v>6</v>
      </c>
      <c r="E82" s="9">
        <v>598.09</v>
      </c>
      <c r="F82" s="8">
        <v>80</v>
      </c>
      <c r="G82" s="10"/>
      <c r="H82" s="9" t="str">
        <f>IF(G82="","",E82*G82)</f>
        <v/>
      </c>
      <c r="I82" s="11" t="str">
        <f>HYPERLINK("https://optomposuda.ru/product/kuvshin-2l-emal-s-ris-01-0110-4","открыть")</f>
        <v>открыть</v>
      </c>
    </row>
    <row r="83" spans="1:9" x14ac:dyDescent="0.25">
      <c r="A83" t="s">
        <v>550</v>
      </c>
      <c r="B83" t="s">
        <v>551</v>
      </c>
      <c r="C83" t="s">
        <v>409</v>
      </c>
      <c r="D83" s="8">
        <v>40</v>
      </c>
      <c r="E83" s="9">
        <v>188.07</v>
      </c>
      <c r="F83" s="8">
        <v>44</v>
      </c>
      <c r="G83" s="10"/>
      <c r="H83" s="9" t="str">
        <f>IF(G83="","",E83*G83)</f>
        <v/>
      </c>
      <c r="I83" s="11" t="str">
        <f>HYPERLINK("https://optomposuda.ru/product/miska-0-6l-bez-ris-20-0305","открыть")</f>
        <v>открыть</v>
      </c>
    </row>
    <row r="84" spans="1:9" x14ac:dyDescent="0.25">
      <c r="A84" t="s">
        <v>552</v>
      </c>
      <c r="B84" t="s">
        <v>553</v>
      </c>
      <c r="C84" t="s">
        <v>409</v>
      </c>
      <c r="D84" s="8">
        <v>14</v>
      </c>
      <c r="E84" s="9">
        <v>357.32</v>
      </c>
      <c r="F84" s="8">
        <v>255</v>
      </c>
      <c r="G84" s="10"/>
      <c r="H84" s="9" t="str">
        <f>IF(G84="","",E84*G84)</f>
        <v/>
      </c>
      <c r="I84" s="11" t="str">
        <f>HYPERLINK("https://optomposuda.ru/product/miska-2-5l-bez-ris-01-0311","открыть")</f>
        <v>открыть</v>
      </c>
    </row>
    <row r="85" spans="1:9" x14ac:dyDescent="0.25">
      <c r="A85" t="s">
        <v>554</v>
      </c>
      <c r="B85" t="s">
        <v>555</v>
      </c>
      <c r="C85" t="s">
        <v>409</v>
      </c>
      <c r="D85" s="8">
        <v>14</v>
      </c>
      <c r="E85" s="9">
        <v>436.17</v>
      </c>
      <c r="F85" s="8">
        <v>120</v>
      </c>
      <c r="G85" s="10"/>
      <c r="H85" s="9" t="str">
        <f>IF(G85="","",E85*G85)</f>
        <v/>
      </c>
      <c r="I85" s="11" t="str">
        <f>HYPERLINK("https://optomposuda.ru/product/miska-2-5l-s-ris-01-0311-4","открыть")</f>
        <v>открыть</v>
      </c>
    </row>
    <row r="86" spans="1:9" x14ac:dyDescent="0.25">
      <c r="A86" t="s">
        <v>556</v>
      </c>
      <c r="B86" t="s">
        <v>557</v>
      </c>
      <c r="C86" t="s">
        <v>409</v>
      </c>
      <c r="D86" s="8">
        <v>20</v>
      </c>
      <c r="E86" s="9">
        <v>304.06</v>
      </c>
      <c r="F86" s="8">
        <v>125</v>
      </c>
      <c r="G86" s="10"/>
      <c r="H86" s="9" t="str">
        <f>IF(G86="","",E86*G86)</f>
        <v/>
      </c>
      <c r="I86" s="11" t="str">
        <f>HYPERLINK("https://optomposuda.ru/product/miska-2l-bez-ris-20-21-0310","открыть")</f>
        <v>открыть</v>
      </c>
    </row>
    <row r="87" spans="1:9" x14ac:dyDescent="0.25">
      <c r="A87" t="s">
        <v>558</v>
      </c>
      <c r="B87" t="s">
        <v>559</v>
      </c>
      <c r="C87" t="s">
        <v>409</v>
      </c>
      <c r="D87" s="8">
        <v>20</v>
      </c>
      <c r="E87" s="9">
        <v>315</v>
      </c>
      <c r="F87" s="8">
        <v>178</v>
      </c>
      <c r="G87" s="10"/>
      <c r="H87" s="9" t="str">
        <f>IF(G87="","",E87*G87)</f>
        <v/>
      </c>
      <c r="I87" s="11" t="str">
        <f>HYPERLINK("https://optomposuda.ru/product/miska-2l-s-ris-01-02-20-0310-4","открыть")</f>
        <v>открыть</v>
      </c>
    </row>
    <row r="88" spans="1:9" x14ac:dyDescent="0.25">
      <c r="A88" t="s">
        <v>560</v>
      </c>
      <c r="B88" t="s">
        <v>561</v>
      </c>
      <c r="C88" t="s">
        <v>409</v>
      </c>
      <c r="D88" s="8">
        <v>10</v>
      </c>
      <c r="E88" s="9">
        <v>434.03</v>
      </c>
      <c r="F88" s="8">
        <v>217</v>
      </c>
      <c r="G88" s="10"/>
      <c r="H88" s="9" t="str">
        <f>IF(G88="","",E88*G88)</f>
        <v/>
      </c>
      <c r="I88" s="11" t="str">
        <f>HYPERLINK("https://optomposuda.ru/product/miska-4l-bez-ris-20-0314","открыть")</f>
        <v>открыть</v>
      </c>
    </row>
    <row r="89" spans="1:9" x14ac:dyDescent="0.25">
      <c r="A89" t="s">
        <v>562</v>
      </c>
      <c r="B89" t="s">
        <v>563</v>
      </c>
      <c r="C89" t="s">
        <v>409</v>
      </c>
      <c r="D89" s="8">
        <v>30</v>
      </c>
      <c r="E89" s="9">
        <v>280.08</v>
      </c>
      <c r="F89" s="8">
        <v>97</v>
      </c>
      <c r="G89" s="10"/>
      <c r="H89" s="9" t="str">
        <f>IF(G89="","",E89*G89)</f>
        <v/>
      </c>
      <c r="I89" s="11" t="str">
        <f>HYPERLINK("https://optomposuda.ru/product/miska-kvadratnaya-1-0l-s-ris-01-0307k-4","открыть")</f>
        <v>открыть</v>
      </c>
    </row>
    <row r="90" spans="1:9" x14ac:dyDescent="0.25">
      <c r="A90" t="s">
        <v>564</v>
      </c>
      <c r="B90" t="s">
        <v>565</v>
      </c>
      <c r="C90" t="s">
        <v>409</v>
      </c>
      <c r="D90" s="8">
        <v>40</v>
      </c>
      <c r="E90" s="9">
        <v>127.03</v>
      </c>
      <c r="F90" s="8">
        <v>5</v>
      </c>
      <c r="G90" s="10"/>
      <c r="H90" s="9" t="str">
        <f>IF(G90="","",E90*G90)</f>
        <v/>
      </c>
      <c r="I90" s="11" t="str">
        <f>HYPERLINK("https://optomposuda.ru/product/tarelka-0-5l-emal-bez-ris-01-0403","открыть")</f>
        <v>открыть</v>
      </c>
    </row>
    <row r="91" spans="1:9" x14ac:dyDescent="0.25">
      <c r="A91" s="7" t="s">
        <v>85</v>
      </c>
      <c r="B91" s="7"/>
      <c r="C91" s="7"/>
      <c r="D91" s="7"/>
      <c r="E91" s="7"/>
      <c r="F91" s="7"/>
      <c r="G91" s="7"/>
      <c r="H91" s="7"/>
      <c r="I91" s="7"/>
    </row>
    <row r="92" spans="1:9" x14ac:dyDescent="0.25">
      <c r="A92" t="s">
        <v>566</v>
      </c>
      <c r="B92" t="s">
        <v>567</v>
      </c>
      <c r="C92" t="s">
        <v>409</v>
      </c>
      <c r="D92" s="8">
        <v>2</v>
      </c>
      <c r="E92" s="9">
        <v>1018.45</v>
      </c>
      <c r="F92" s="8">
        <v>163</v>
      </c>
      <c r="G92" s="10"/>
      <c r="H92" s="9" t="str">
        <f>IF(G92="","",E92*G92)</f>
        <v/>
      </c>
      <c r="I92" s="11" t="str">
        <f>HYPERLINK("https://optomposuda.ru/product/vedro-bez-kryshki-12l-bez-ris-cilindrich-20-1024","открыть")</f>
        <v>открыть</v>
      </c>
    </row>
    <row r="93" spans="1:9" x14ac:dyDescent="0.25">
      <c r="A93" t="s">
        <v>568</v>
      </c>
      <c r="B93" t="s">
        <v>569</v>
      </c>
      <c r="C93" t="s">
        <v>409</v>
      </c>
      <c r="D93" s="8">
        <v>2</v>
      </c>
      <c r="E93" s="9">
        <v>1193.48</v>
      </c>
      <c r="F93" s="8">
        <v>76</v>
      </c>
      <c r="G93" s="10"/>
      <c r="H93" s="9" t="str">
        <f>IF(G93="","",E93*G93)</f>
        <v/>
      </c>
      <c r="I93" s="11" t="str">
        <f>HYPERLINK("https://optomposuda.ru/product/vedro-s-kryshkoy-12l-bez-ris-cilindrich-emal-20-1224","открыть")</f>
        <v>открыть</v>
      </c>
    </row>
    <row r="94" spans="1:9" x14ac:dyDescent="0.25">
      <c r="A94" t="s">
        <v>570</v>
      </c>
      <c r="B94" t="s">
        <v>571</v>
      </c>
      <c r="C94" t="s">
        <v>409</v>
      </c>
      <c r="D94" s="8">
        <v>2</v>
      </c>
      <c r="E94" s="9">
        <v>1373.94</v>
      </c>
      <c r="F94" s="8">
        <v>124</v>
      </c>
      <c r="G94" s="10"/>
      <c r="H94" s="9" t="str">
        <f>IF(G94="","",E94*G94)</f>
        <v/>
      </c>
      <c r="I94" s="11" t="str">
        <f>HYPERLINK("https://optomposuda.ru/product/vedro-s-kryshkoy-12l-s-ris-cilindrich-20-1224-4","открыть")</f>
        <v>открыть</v>
      </c>
    </row>
    <row r="95" spans="1:9" x14ac:dyDescent="0.25">
      <c r="A95" t="s">
        <v>572</v>
      </c>
      <c r="B95" t="s">
        <v>573</v>
      </c>
      <c r="C95" t="s">
        <v>409</v>
      </c>
      <c r="D95" s="8">
        <v>5</v>
      </c>
      <c r="E95" s="9">
        <v>663.71</v>
      </c>
      <c r="F95" s="8">
        <v>58</v>
      </c>
      <c r="G95" s="10"/>
      <c r="H95" s="9" t="str">
        <f>IF(G95="","",E95*G95)</f>
        <v/>
      </c>
      <c r="I95" s="11" t="str">
        <f>HYPERLINK("https://optomposuda.ru/product/taz-16l-s-ris-02-3026-4","открыть")</f>
        <v>открыть</v>
      </c>
    </row>
    <row r="96" spans="1:9" x14ac:dyDescent="0.25">
      <c r="A96" t="s">
        <v>574</v>
      </c>
      <c r="B96" t="s">
        <v>575</v>
      </c>
      <c r="C96" t="s">
        <v>409</v>
      </c>
      <c r="D96" s="8">
        <v>5</v>
      </c>
      <c r="E96" s="9">
        <v>941.61</v>
      </c>
      <c r="F96" s="8">
        <v>180</v>
      </c>
      <c r="G96" s="10"/>
      <c r="H96" s="9" t="str">
        <f>IF(G96="","",E96*G96)</f>
        <v/>
      </c>
      <c r="I96" s="11" t="str">
        <f>HYPERLINK("https://optomposuda.ru/product/taz-20l-bez-ris-02-20-3028","открыть")</f>
        <v>открыть</v>
      </c>
    </row>
    <row r="97" spans="1:9" x14ac:dyDescent="0.25">
      <c r="A97" t="s">
        <v>576</v>
      </c>
      <c r="B97" t="s">
        <v>577</v>
      </c>
      <c r="C97" t="s">
        <v>409</v>
      </c>
      <c r="D97" s="8">
        <v>5</v>
      </c>
      <c r="E97" s="9">
        <v>1014.6</v>
      </c>
      <c r="F97" s="8">
        <v>72</v>
      </c>
      <c r="G97" s="10"/>
      <c r="H97" s="9" t="str">
        <f>IF(G97="","",E97*G97)</f>
        <v/>
      </c>
      <c r="I97" s="11" t="str">
        <f>HYPERLINK("https://optomposuda.ru/product/taz-20l-s-ris-01-02-3028-4","открыть")</f>
        <v>открыть</v>
      </c>
    </row>
  </sheetData>
  <autoFilter ref="A7:I7"/>
  <mergeCells count="10">
    <mergeCell ref="A1:I1"/>
    <mergeCell ref="A2:I2"/>
    <mergeCell ref="A3:I3"/>
    <mergeCell ref="A4:I4"/>
    <mergeCell ref="A8:I8"/>
    <mergeCell ref="A11:I11"/>
    <mergeCell ref="A14:I14"/>
    <mergeCell ref="A20:I20"/>
    <mergeCell ref="A69:I69"/>
    <mergeCell ref="A91:I9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578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SUM(H8:H32)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30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579</v>
      </c>
      <c r="B9" t="s">
        <v>580</v>
      </c>
      <c r="C9" t="s">
        <v>578</v>
      </c>
      <c r="D9" s="8">
        <v>1</v>
      </c>
      <c r="E9" s="9">
        <v>2585.06</v>
      </c>
      <c r="F9" s="8">
        <v>5</v>
      </c>
      <c r="G9" s="10"/>
      <c r="H9" s="9" t="str">
        <f>IF(G9="","",E9*G9)</f>
        <v/>
      </c>
      <c r="I9" s="11" t="str">
        <f>HYPERLINK("https://optomposuda.ru/product/10838-vaza-d-cvetov-metel-2-vel-cvetnaya-pudra-art-29009","открыть")</f>
        <v>открыть</v>
      </c>
    </row>
    <row r="10" spans="1:9" x14ac:dyDescent="0.25">
      <c r="A10" t="s">
        <v>581</v>
      </c>
      <c r="B10" t="s">
        <v>582</v>
      </c>
      <c r="C10" t="s">
        <v>578</v>
      </c>
      <c r="D10" s="8">
        <v>1</v>
      </c>
      <c r="E10" s="9">
        <v>2780.8</v>
      </c>
      <c r="F10" s="8">
        <v>4</v>
      </c>
      <c r="G10" s="10"/>
      <c r="H10" s="9" t="str">
        <f>IF(G10="","",E10*G10)</f>
        <v/>
      </c>
      <c r="I10" s="11" t="str">
        <f>HYPERLINK("https://optomposuda.ru/product/10838-vaza-d-cvetov-metel-3-vel-cvetnaya-pudra-art-29010","открыть")</f>
        <v>открыть</v>
      </c>
    </row>
    <row r="11" spans="1:9" x14ac:dyDescent="0.25">
      <c r="A11" t="s">
        <v>583</v>
      </c>
      <c r="B11" t="s">
        <v>584</v>
      </c>
      <c r="C11" t="s">
        <v>578</v>
      </c>
      <c r="D11" s="8">
        <v>1</v>
      </c>
      <c r="E11" s="9">
        <v>2908.12</v>
      </c>
      <c r="F11" s="8">
        <v>2</v>
      </c>
      <c r="G11" s="10"/>
      <c r="H11" s="9" t="str">
        <f>IF(G11="","",E11*G11)</f>
        <v/>
      </c>
      <c r="I11" s="11" t="str">
        <f>HYPERLINK("https://optomposuda.ru/product/10962-vaza-dekorativnaya-kraski-oseni-1-vel-cvetnaya-pudra-art-30293","открыть")</f>
        <v>открыть</v>
      </c>
    </row>
    <row r="12" spans="1:9" x14ac:dyDescent="0.25">
      <c r="A12" t="s">
        <v>585</v>
      </c>
      <c r="B12" t="s">
        <v>586</v>
      </c>
      <c r="C12" t="s">
        <v>578</v>
      </c>
      <c r="D12" s="8">
        <v>1</v>
      </c>
      <c r="E12" s="9">
        <v>2735.19</v>
      </c>
      <c r="F12" s="8">
        <v>3</v>
      </c>
      <c r="G12" s="10"/>
      <c r="H12" s="9" t="str">
        <f>IF(G12="","",E12*G12)</f>
        <v/>
      </c>
      <c r="I12" s="11" t="str">
        <f>HYPERLINK("https://optomposuda.ru/product/10962-vaza-dekorativnaya-kraski-oseni-2-vel-cvetnaya-pudra-art-30294","открыть")</f>
        <v>открыть</v>
      </c>
    </row>
    <row r="13" spans="1:9" x14ac:dyDescent="0.25">
      <c r="A13" t="s">
        <v>587</v>
      </c>
      <c r="B13" t="s">
        <v>588</v>
      </c>
      <c r="C13" t="s">
        <v>578</v>
      </c>
      <c r="D13" s="8">
        <v>1</v>
      </c>
      <c r="E13" s="9">
        <v>3004.41</v>
      </c>
      <c r="F13" s="8">
        <v>3</v>
      </c>
      <c r="G13" s="10"/>
      <c r="H13" s="9" t="str">
        <f>IF(G13="","",E13*G13)</f>
        <v/>
      </c>
      <c r="I13" s="11" t="str">
        <f>HYPERLINK("https://optomposuda.ru/product/11517-dekor-vaza-d-cvetov-feniks-rozovaya-1-vel-art-34156","открыть")</f>
        <v>открыть</v>
      </c>
    </row>
    <row r="14" spans="1:9" x14ac:dyDescent="0.25">
      <c r="A14" t="s">
        <v>589</v>
      </c>
      <c r="B14" t="s">
        <v>590</v>
      </c>
      <c r="C14" t="s">
        <v>578</v>
      </c>
      <c r="D14" s="8">
        <v>1</v>
      </c>
      <c r="E14" s="9">
        <v>2567.98</v>
      </c>
      <c r="F14" s="8">
        <v>3</v>
      </c>
      <c r="G14" s="10"/>
      <c r="H14" s="9" t="str">
        <f>IF(G14="","",E14*G14)</f>
        <v/>
      </c>
      <c r="I14" s="11" t="str">
        <f>HYPERLINK("https://optomposuda.ru/product/11517-dekor-vaza-d-cvetov-feniks-rozovaya-2-vel-art-34157","открыть")</f>
        <v>открыть</v>
      </c>
    </row>
    <row r="15" spans="1:9" x14ac:dyDescent="0.25">
      <c r="A15" t="s">
        <v>591</v>
      </c>
      <c r="B15" t="s">
        <v>592</v>
      </c>
      <c r="C15" t="s">
        <v>578</v>
      </c>
      <c r="D15" s="8">
        <v>1</v>
      </c>
      <c r="E15" s="9">
        <v>1180.72</v>
      </c>
      <c r="F15" s="8">
        <v>46</v>
      </c>
      <c r="G15" s="10"/>
      <c r="H15" s="9" t="str">
        <f>IF(G15="","",E15*G15)</f>
        <v/>
      </c>
      <c r="I15" s="11" t="str">
        <f>HYPERLINK("https://optomposuda.ru/product/5595-vaza-shar-d-220-kos-sr-100-1-glad-hol-otr-art-24181","открыть")</f>
        <v>открыть</v>
      </c>
    </row>
    <row r="16" spans="1:9" x14ac:dyDescent="0.25">
      <c r="A16" t="s">
        <v>593</v>
      </c>
      <c r="B16" t="s">
        <v>594</v>
      </c>
      <c r="C16" t="s">
        <v>578</v>
      </c>
      <c r="D16" s="8">
        <v>1</v>
      </c>
      <c r="E16" s="9">
        <v>448.47</v>
      </c>
      <c r="F16" s="8">
        <v>71</v>
      </c>
      <c r="G16" s="10"/>
      <c r="H16" s="9" t="str">
        <f>IF(G16="","",E16*G16)</f>
        <v/>
      </c>
      <c r="I16" s="11" t="str">
        <f>HYPERLINK("https://optomposuda.ru/product/6401-vaza-shar-d-140-kos-sr-100-1-glad-hol-otr-art-23826","открыть")</f>
        <v>открыть</v>
      </c>
    </row>
    <row r="17" spans="1:9" x14ac:dyDescent="0.25">
      <c r="A17" t="s">
        <v>595</v>
      </c>
      <c r="B17" t="s">
        <v>596</v>
      </c>
      <c r="C17" t="s">
        <v>578</v>
      </c>
      <c r="D17" s="8">
        <v>1</v>
      </c>
      <c r="E17" s="9">
        <v>2736.47</v>
      </c>
      <c r="F17" s="8">
        <v>4</v>
      </c>
      <c r="G17" s="10"/>
      <c r="H17" s="9" t="str">
        <f>IF(G17="","",E17*G17)</f>
        <v/>
      </c>
      <c r="I17" s="11" t="str">
        <f>HYPERLINK("https://optomposuda.ru/product/8927-vaza-d-cvetov-v-260-iris-cvetnaya-pudra-art-24813","открыть")</f>
        <v>открыть</v>
      </c>
    </row>
    <row r="18" spans="1:9" x14ac:dyDescent="0.25">
      <c r="A18" s="7" t="s">
        <v>74</v>
      </c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t="s">
        <v>597</v>
      </c>
      <c r="B19" t="s">
        <v>598</v>
      </c>
      <c r="C19" t="s">
        <v>578</v>
      </c>
      <c r="D19" s="8">
        <v>1</v>
      </c>
      <c r="E19" s="9">
        <v>4570.57</v>
      </c>
      <c r="F19" s="8">
        <v>8</v>
      </c>
      <c r="G19" s="10"/>
      <c r="H19" s="9" t="str">
        <f>IF(G19="","",E19*G19)</f>
        <v/>
      </c>
      <c r="I19" s="11" t="str">
        <f>HYPERLINK("https://optomposuda.ru/product/11025-nabor-stakanov-d-viski-200-g-nabor-iz-6-sht-900-281-art-32162","открыть")</f>
        <v>открыть</v>
      </c>
    </row>
    <row r="20" spans="1:9" x14ac:dyDescent="0.25">
      <c r="A20" t="s">
        <v>599</v>
      </c>
      <c r="B20" t="s">
        <v>600</v>
      </c>
      <c r="C20" t="s">
        <v>578</v>
      </c>
      <c r="D20" s="8">
        <v>1</v>
      </c>
      <c r="E20" s="9">
        <v>1280.82</v>
      </c>
      <c r="F20" s="8">
        <v>164</v>
      </c>
      <c r="G20" s="10"/>
      <c r="H20" s="9" t="str">
        <f>IF(G20="","",E20*G20)</f>
        <v/>
      </c>
      <c r="I20" s="11" t="str">
        <f>HYPERLINK("https://optomposuda.ru/product/11376-nabor-stakanov-d-viski-200-g-100-2-glad-gor-otrezka-art-37596","открыть")</f>
        <v>открыть</v>
      </c>
    </row>
    <row r="21" spans="1:9" x14ac:dyDescent="0.25">
      <c r="A21" t="s">
        <v>601</v>
      </c>
      <c r="B21" t="s">
        <v>602</v>
      </c>
      <c r="C21" t="s">
        <v>578</v>
      </c>
      <c r="D21" s="8">
        <v>1</v>
      </c>
      <c r="E21" s="9">
        <v>1839.51</v>
      </c>
      <c r="F21" s="8">
        <v>56</v>
      </c>
      <c r="G21" s="10"/>
      <c r="H21" s="9" t="str">
        <f>IF(G21="","",E21*G21)</f>
        <v/>
      </c>
      <c r="I21" s="11" t="str">
        <f>HYPERLINK("https://optomposuda.ru/product/11485-nabor-ryumok-arktika-130g-100-12-art-36867","открыть")</f>
        <v>открыть</v>
      </c>
    </row>
    <row r="22" spans="1:9" x14ac:dyDescent="0.25">
      <c r="A22" t="s">
        <v>603</v>
      </c>
      <c r="B22" t="s">
        <v>604</v>
      </c>
      <c r="C22" t="s">
        <v>578</v>
      </c>
      <c r="D22" s="8">
        <v>1</v>
      </c>
      <c r="E22" s="9">
        <v>2002.94</v>
      </c>
      <c r="F22" s="8">
        <v>54</v>
      </c>
      <c r="G22" s="10"/>
      <c r="H22" s="9" t="str">
        <f>IF(G22="","",E22*G22)</f>
        <v/>
      </c>
      <c r="I22" s="11" t="str">
        <f>HYPERLINK("https://optomposuda.ru/product/11485-nabor-fuzherov-arktika-150-g-100-12-art-35306","открыть")</f>
        <v>открыть</v>
      </c>
    </row>
    <row r="23" spans="1:9" x14ac:dyDescent="0.25">
      <c r="A23" t="s">
        <v>605</v>
      </c>
      <c r="B23" t="s">
        <v>606</v>
      </c>
      <c r="C23" t="s">
        <v>578</v>
      </c>
      <c r="D23" s="8">
        <v>1</v>
      </c>
      <c r="E23" s="9">
        <v>2132.16</v>
      </c>
      <c r="F23" s="8">
        <v>55</v>
      </c>
      <c r="G23" s="10"/>
      <c r="H23" s="9" t="str">
        <f>IF(G23="","",E23*G23)</f>
        <v/>
      </c>
      <c r="I23" s="11" t="str">
        <f>HYPERLINK("https://optomposuda.ru/product/11485-nabor-fuzherov-arktika-200-g-100-12-art-39176","открыть")</f>
        <v>открыть</v>
      </c>
    </row>
    <row r="24" spans="1:9" x14ac:dyDescent="0.25">
      <c r="A24" t="s">
        <v>607</v>
      </c>
      <c r="B24" t="s">
        <v>608</v>
      </c>
      <c r="C24" t="s">
        <v>578</v>
      </c>
      <c r="D24" s="8">
        <v>1</v>
      </c>
      <c r="E24" s="9">
        <v>2052.97</v>
      </c>
      <c r="F24" s="8">
        <v>98</v>
      </c>
      <c r="G24" s="10"/>
      <c r="H24" s="9" t="str">
        <f>IF(G24="","",E24*G24)</f>
        <v/>
      </c>
      <c r="I24" s="11" t="str">
        <f>HYPERLINK("https://optomposuda.ru/product/11603-nabor-stakanov-d-kokteylya-up-dr-s-350-g-100-2-glad-gor-otrezka-art-40489","открыть")</f>
        <v>открыть</v>
      </c>
    </row>
    <row r="25" spans="1:9" x14ac:dyDescent="0.25">
      <c r="A25" t="s">
        <v>609</v>
      </c>
      <c r="B25" t="s">
        <v>610</v>
      </c>
      <c r="C25" t="s">
        <v>578</v>
      </c>
      <c r="D25" s="8">
        <v>1</v>
      </c>
      <c r="E25" s="9">
        <v>1588.66</v>
      </c>
      <c r="F25" s="8">
        <v>60</v>
      </c>
      <c r="G25" s="10"/>
      <c r="H25" s="9" t="str">
        <f>IF(G25="","",E25*G25)</f>
        <v/>
      </c>
      <c r="I25" s="11" t="str">
        <f>HYPERLINK("https://optomposuda.ru/product/11807-nabor-fuzherov-d-krasnogo-vina-350-g-100-2-glad-gor-otrezka-art-41006","открыть")</f>
        <v>открыть</v>
      </c>
    </row>
    <row r="26" spans="1:9" x14ac:dyDescent="0.25">
      <c r="A26" t="s">
        <v>611</v>
      </c>
      <c r="B26" t="s">
        <v>612</v>
      </c>
      <c r="C26" t="s">
        <v>578</v>
      </c>
      <c r="D26" s="8">
        <v>1</v>
      </c>
      <c r="E26" s="9">
        <v>296.67</v>
      </c>
      <c r="F26" s="8">
        <v>6</v>
      </c>
      <c r="G26" s="10"/>
      <c r="H26" s="9" t="str">
        <f>IF(G26="","",E26*G26)</f>
        <v/>
      </c>
      <c r="I26" s="11" t="str">
        <f>HYPERLINK("https://optomposuda.ru/product/11807-1-shampanka-100-2-glad-gor-otrezka-art-40848-1","открыть")</f>
        <v>открыть</v>
      </c>
    </row>
    <row r="27" spans="1:9" x14ac:dyDescent="0.25">
      <c r="A27" t="s">
        <v>613</v>
      </c>
      <c r="B27" t="s">
        <v>614</v>
      </c>
      <c r="C27" t="s">
        <v>578</v>
      </c>
      <c r="D27" s="8">
        <v>1</v>
      </c>
      <c r="E27" s="9">
        <v>553.62</v>
      </c>
      <c r="F27" s="8">
        <v>4</v>
      </c>
      <c r="G27" s="10"/>
      <c r="H27" s="9" t="str">
        <f>IF(G27="","",E27*G27)</f>
        <v/>
      </c>
      <c r="I27" s="11" t="str">
        <f>HYPERLINK("https://optomposuda.ru/product/12100-nabor-bokalov-d-shampanskogo-2-sht-250-g-100-2-glad-gor-otrezka-art-41561","открыть")</f>
        <v>открыть</v>
      </c>
    </row>
    <row r="28" spans="1:9" x14ac:dyDescent="0.25">
      <c r="A28" t="s">
        <v>615</v>
      </c>
      <c r="B28" t="s">
        <v>616</v>
      </c>
      <c r="C28" t="s">
        <v>578</v>
      </c>
      <c r="D28" s="8">
        <v>1</v>
      </c>
      <c r="E28" s="9">
        <v>673.99</v>
      </c>
      <c r="F28" s="8">
        <v>118</v>
      </c>
      <c r="G28" s="10"/>
      <c r="H28" s="9" t="str">
        <f>IF(G28="","",E28*G28)</f>
        <v/>
      </c>
      <c r="I28" s="11" t="str">
        <f>HYPERLINK("https://optomposuda.ru/product/12100-nabor-fuzherov-d-krasnogo-vina-2sht-500-g-100-2-glad-gor-otr-art-41168","открыть")</f>
        <v>открыть</v>
      </c>
    </row>
    <row r="29" spans="1:9" x14ac:dyDescent="0.25">
      <c r="A29" t="s">
        <v>617</v>
      </c>
      <c r="B29" t="s">
        <v>618</v>
      </c>
      <c r="C29" t="s">
        <v>578</v>
      </c>
      <c r="D29" s="8">
        <v>1</v>
      </c>
      <c r="E29" s="9">
        <v>1364.44</v>
      </c>
      <c r="F29" s="8">
        <v>60</v>
      </c>
      <c r="G29" s="10"/>
      <c r="H29" s="9" t="str">
        <f>IF(G29="","",E29*G29)</f>
        <v/>
      </c>
      <c r="I29" s="11" t="str">
        <f>HYPERLINK("https://optomposuda.ru/product/8560-nabor-bokalov-d-shampanskogo-180-g-100-2-glad-gor-otr-art-16625","открыть")</f>
        <v>открыть</v>
      </c>
    </row>
    <row r="30" spans="1:9" x14ac:dyDescent="0.25">
      <c r="A30" t="s">
        <v>619</v>
      </c>
      <c r="B30" t="s">
        <v>620</v>
      </c>
      <c r="C30" t="s">
        <v>578</v>
      </c>
      <c r="D30" s="8">
        <v>1</v>
      </c>
      <c r="E30" s="9">
        <v>1204.81</v>
      </c>
      <c r="F30" s="8">
        <v>60</v>
      </c>
      <c r="G30" s="10"/>
      <c r="H30" s="9" t="str">
        <f>IF(G30="","",E30*G30)</f>
        <v/>
      </c>
      <c r="I30" s="11" t="str">
        <f>HYPERLINK("https://optomposuda.ru/product/8560-nabor-stakanov-d-kokteylya-380-g-100-2-glad-gor-otrezka-art-14899","открыть")</f>
        <v>открыть</v>
      </c>
    </row>
    <row r="31" spans="1:9" x14ac:dyDescent="0.25">
      <c r="A31" t="s">
        <v>621</v>
      </c>
      <c r="B31" t="s">
        <v>622</v>
      </c>
      <c r="C31" t="s">
        <v>578</v>
      </c>
      <c r="D31" s="8">
        <v>1</v>
      </c>
      <c r="E31" s="9">
        <v>1577.28</v>
      </c>
      <c r="F31" s="8">
        <v>60</v>
      </c>
      <c r="G31" s="10"/>
      <c r="H31" s="9" t="str">
        <f>IF(G31="","",E31*G31)</f>
        <v/>
      </c>
      <c r="I31" s="11" t="str">
        <f>HYPERLINK("https://optomposuda.ru/product/8560-nabor-fuzherov-d-belogo-vina-250-g-100-2-glad-gor-otrezka-art-43367","открыть")</f>
        <v>открыть</v>
      </c>
    </row>
    <row r="32" spans="1:9" x14ac:dyDescent="0.25">
      <c r="A32" t="s">
        <v>623</v>
      </c>
      <c r="B32" t="s">
        <v>624</v>
      </c>
      <c r="C32" t="s">
        <v>578</v>
      </c>
      <c r="D32" s="8">
        <v>1</v>
      </c>
      <c r="E32" s="9">
        <v>1581.06</v>
      </c>
      <c r="F32" s="8">
        <v>60</v>
      </c>
      <c r="G32" s="10"/>
      <c r="H32" s="9" t="str">
        <f>IF(G32="","",E32*G32)</f>
        <v/>
      </c>
      <c r="I32" s="11" t="str">
        <f>HYPERLINK("https://optomposuda.ru/product/8560-nabor-fuzherov-d-burgundskogo-vina-380-g-100-2-glad-gor-otr-art-16637","открыть")</f>
        <v>открыть</v>
      </c>
    </row>
  </sheetData>
  <autoFilter ref="A7:I7"/>
  <mergeCells count="6">
    <mergeCell ref="A1:I1"/>
    <mergeCell ref="A2:I2"/>
    <mergeCell ref="A3:I3"/>
    <mergeCell ref="A4:I4"/>
    <mergeCell ref="A8:I8"/>
    <mergeCell ref="A18:I1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625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SUM(H8:H40)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41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626</v>
      </c>
      <c r="B9" t="s">
        <v>627</v>
      </c>
      <c r="C9" t="s">
        <v>625</v>
      </c>
      <c r="D9" s="8">
        <v>1</v>
      </c>
      <c r="E9" s="9">
        <v>642.16</v>
      </c>
      <c r="F9" s="8">
        <v>7</v>
      </c>
      <c r="G9" s="10"/>
      <c r="H9" s="9" t="str">
        <f>IF(G9="","",E9*G9)</f>
        <v/>
      </c>
      <c r="I9" s="11" t="str">
        <f>HYPERLINK("https://optomposuda.ru/product/telezhka-dlya-perevozki-flyag-usil-40l-gruzop-50kg-karkas-iz-stal-truby-22mm-koleso-rezina-нн000006098","открыть")</f>
        <v>открыть</v>
      </c>
    </row>
    <row r="10" spans="1:9" x14ac:dyDescent="0.25">
      <c r="A10" t="s">
        <v>628</v>
      </c>
      <c r="B10" t="s">
        <v>627</v>
      </c>
      <c r="C10" t="s">
        <v>625</v>
      </c>
      <c r="D10" s="8">
        <v>1</v>
      </c>
      <c r="E10" s="9">
        <v>715.3</v>
      </c>
      <c r="F10" s="8">
        <v>9</v>
      </c>
      <c r="G10" s="10"/>
      <c r="H10" s="9" t="str">
        <f>IF(G10="","",E10*G10)</f>
        <v/>
      </c>
      <c r="I10" s="11" t="str">
        <f>HYPERLINK("https://optomposuda.ru/product/telezhka-dlya-perevozki-flyag-usil-40l-gruzop-50kg-karkas-iz-stal-truby-22mm-koleso-rezina","открыть")</f>
        <v>открыть</v>
      </c>
    </row>
    <row r="11" spans="1:9" x14ac:dyDescent="0.25">
      <c r="A11" t="s">
        <v>629</v>
      </c>
      <c r="B11" t="s">
        <v>630</v>
      </c>
      <c r="C11" t="s">
        <v>625</v>
      </c>
      <c r="D11" s="8">
        <v>1</v>
      </c>
      <c r="E11" s="9">
        <v>494.59</v>
      </c>
      <c r="F11" s="8">
        <v>4</v>
      </c>
      <c r="G11" s="10"/>
      <c r="H11" s="9" t="str">
        <f>IF(G11="","",E11*G11)</f>
        <v/>
      </c>
      <c r="I11" s="11" t="str">
        <f>HYPERLINK("https://optomposuda.ru/product/telezhka-dlya-flyag-gruzopodemnost-50kg","открыть")</f>
        <v>открыть</v>
      </c>
    </row>
    <row r="12" spans="1:9" x14ac:dyDescent="0.25">
      <c r="A12" s="7" t="s">
        <v>145</v>
      </c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t="s">
        <v>631</v>
      </c>
      <c r="B13" t="s">
        <v>632</v>
      </c>
      <c r="C13" t="s">
        <v>625</v>
      </c>
      <c r="D13" s="8">
        <v>10</v>
      </c>
      <c r="E13" s="9">
        <v>141.65</v>
      </c>
      <c r="F13" s="8">
        <v>16</v>
      </c>
      <c r="G13" s="10"/>
      <c r="H13" s="9" t="str">
        <f>IF(G13="","",E13*G13)</f>
        <v/>
      </c>
      <c r="I13" s="11" t="str">
        <f>HYPERLINK("https://optomposuda.ru/product/kryshka-steklyannaya-d16sm-jarko-s-parovypusknym-klapanom-s-met-obodkom","открыть")</f>
        <v>открыть</v>
      </c>
    </row>
    <row r="14" spans="1:9" x14ac:dyDescent="0.25">
      <c r="A14" t="s">
        <v>633</v>
      </c>
      <c r="B14" t="s">
        <v>634</v>
      </c>
      <c r="C14" t="s">
        <v>625</v>
      </c>
      <c r="D14" s="8">
        <v>10</v>
      </c>
      <c r="E14" s="9">
        <v>149</v>
      </c>
      <c r="F14" s="8">
        <v>101</v>
      </c>
      <c r="G14" s="10"/>
      <c r="H14" s="9" t="str">
        <f>IF(G14="","",E14*G14)</f>
        <v/>
      </c>
      <c r="I14" s="11" t="str">
        <f>HYPERLINK("https://optomposuda.ru/product/kryshka-steklyannaya-d18sm-jarko-s-parovypusknym-klapanom-s-met-obodkom","открыть")</f>
        <v>открыть</v>
      </c>
    </row>
    <row r="15" spans="1:9" x14ac:dyDescent="0.25">
      <c r="A15" t="s">
        <v>635</v>
      </c>
      <c r="B15" t="s">
        <v>636</v>
      </c>
      <c r="C15" t="s">
        <v>625</v>
      </c>
      <c r="D15" s="8">
        <v>12</v>
      </c>
      <c r="E15" s="9">
        <v>162.89</v>
      </c>
      <c r="F15" s="8">
        <v>156</v>
      </c>
      <c r="G15" s="10"/>
      <c r="H15" s="9" t="str">
        <f>IF(G15="","",E15*G15)</f>
        <v/>
      </c>
      <c r="I15" s="11" t="str">
        <f>HYPERLINK("https://optomposuda.ru/product/kryshka-steklyannaya-d20sm-jarko-s-parovypusknym-klapanom-s-met-obodkom","открыть")</f>
        <v>открыть</v>
      </c>
    </row>
    <row r="16" spans="1:9" x14ac:dyDescent="0.25">
      <c r="A16" t="s">
        <v>637</v>
      </c>
      <c r="B16" t="s">
        <v>638</v>
      </c>
      <c r="C16" t="s">
        <v>625</v>
      </c>
      <c r="D16" s="8">
        <v>10</v>
      </c>
      <c r="E16" s="9">
        <v>187.72</v>
      </c>
      <c r="F16" s="8">
        <v>170</v>
      </c>
      <c r="G16" s="10"/>
      <c r="H16" s="9" t="str">
        <f>IF(G16="","",E16*G16)</f>
        <v/>
      </c>
      <c r="I16" s="11" t="str">
        <f>HYPERLINK("https://optomposuda.ru/product/kryshka-steklyannaya-d22sm-jarko-s-parovypusknym-klapanom-s-met-obodkom","открыть")</f>
        <v>открыть</v>
      </c>
    </row>
    <row r="17" spans="1:9" x14ac:dyDescent="0.25">
      <c r="A17" t="s">
        <v>639</v>
      </c>
      <c r="B17" t="s">
        <v>640</v>
      </c>
      <c r="C17" t="s">
        <v>625</v>
      </c>
      <c r="D17" s="8">
        <v>11</v>
      </c>
      <c r="E17" s="9">
        <v>198.66</v>
      </c>
      <c r="F17" s="8">
        <v>175</v>
      </c>
      <c r="G17" s="10"/>
      <c r="H17" s="9" t="str">
        <f>IF(G17="","",E17*G17)</f>
        <v/>
      </c>
      <c r="I17" s="11" t="str">
        <f>HYPERLINK("https://optomposuda.ru/product/kryshka-steklyannaya-d24sm-jarko-s-parovypusknym-klapanom-s-met-obodkom","открыть")</f>
        <v>открыть</v>
      </c>
    </row>
    <row r="18" spans="1:9" x14ac:dyDescent="0.25">
      <c r="A18" t="s">
        <v>641</v>
      </c>
      <c r="B18" t="s">
        <v>642</v>
      </c>
      <c r="C18" t="s">
        <v>625</v>
      </c>
      <c r="D18" s="8">
        <v>11</v>
      </c>
      <c r="E18" s="9">
        <v>214.53</v>
      </c>
      <c r="F18" s="8">
        <v>152</v>
      </c>
      <c r="G18" s="10"/>
      <c r="H18" s="9" t="str">
        <f>IF(G18="","",E18*G18)</f>
        <v/>
      </c>
      <c r="I18" s="11" t="str">
        <f>HYPERLINK("https://optomposuda.ru/product/kryshka-steklyannaya-d26sm-jarko-s-parovypusknym-klapanom-s-met-obodkom","открыть")</f>
        <v>открыть</v>
      </c>
    </row>
    <row r="19" spans="1:9" x14ac:dyDescent="0.25">
      <c r="A19" t="s">
        <v>643</v>
      </c>
      <c r="B19" t="s">
        <v>644</v>
      </c>
      <c r="C19" t="s">
        <v>625</v>
      </c>
      <c r="D19" s="8">
        <v>10</v>
      </c>
      <c r="E19" s="9">
        <v>228.46</v>
      </c>
      <c r="F19" s="8">
        <v>123</v>
      </c>
      <c r="G19" s="10"/>
      <c r="H19" s="9" t="str">
        <f>IF(G19="","",E19*G19)</f>
        <v/>
      </c>
      <c r="I19" s="11" t="str">
        <f>HYPERLINK("https://optomposuda.ru/product/kryshka-steklyannaya-d28sm-jarko-s-parovypusknym-klapanom-s-met-obodkom","открыть")</f>
        <v>открыть</v>
      </c>
    </row>
    <row r="20" spans="1:9" x14ac:dyDescent="0.25">
      <c r="A20" t="s">
        <v>645</v>
      </c>
      <c r="B20" t="s">
        <v>646</v>
      </c>
      <c r="C20" t="s">
        <v>625</v>
      </c>
      <c r="D20" s="8">
        <v>8</v>
      </c>
      <c r="E20" s="9">
        <v>275.57</v>
      </c>
      <c r="F20" s="8">
        <v>20</v>
      </c>
      <c r="G20" s="10"/>
      <c r="H20" s="9" t="str">
        <f>IF(G20="","",E20*G20)</f>
        <v/>
      </c>
      <c r="I20" s="11" t="str">
        <f>HYPERLINK("https://optomposuda.ru/product/kryshka-steklyannaya-d30sm-jarko-s-parovypusknym-klapanom-s-met-obodkom","открыть")</f>
        <v>открыть</v>
      </c>
    </row>
    <row r="21" spans="1:9" x14ac:dyDescent="0.25">
      <c r="A21" t="s">
        <v>647</v>
      </c>
      <c r="B21" t="s">
        <v>648</v>
      </c>
      <c r="C21" t="s">
        <v>625</v>
      </c>
      <c r="D21" s="8">
        <v>6</v>
      </c>
      <c r="E21" s="9">
        <v>679.43</v>
      </c>
      <c r="F21" s="8">
        <v>802</v>
      </c>
      <c r="G21" s="10"/>
      <c r="H21" s="9" t="str">
        <f>IF(G21="","",E21*G21)</f>
        <v/>
      </c>
      <c r="I21" s="11" t="str">
        <f>HYPERLINK("https://optomposuda.ru/product/skovoroda-vari-gril-26sm-kruglaya-antiprig-pokr-ruchka-soft-touch-bez-kryshki","открыть")</f>
        <v>открыть</v>
      </c>
    </row>
    <row r="22" spans="1:9" x14ac:dyDescent="0.25">
      <c r="A22" s="7" t="s">
        <v>649</v>
      </c>
      <c r="B22" s="7"/>
      <c r="C22" s="7"/>
      <c r="D22" s="7"/>
      <c r="E22" s="7"/>
      <c r="F22" s="7"/>
      <c r="G22" s="7"/>
      <c r="H22" s="7"/>
      <c r="I22" s="7"/>
    </row>
    <row r="23" spans="1:9" x14ac:dyDescent="0.25">
      <c r="A23" t="s">
        <v>650</v>
      </c>
      <c r="B23" t="s">
        <v>651</v>
      </c>
      <c r="C23" t="s">
        <v>625</v>
      </c>
      <c r="D23" s="8">
        <v>1</v>
      </c>
      <c r="E23" s="9">
        <v>2355</v>
      </c>
      <c r="F23" s="8">
        <v>9</v>
      </c>
      <c r="G23" s="10"/>
      <c r="H23" s="9" t="str">
        <f>IF(G23="","",E23*G23)</f>
        <v/>
      </c>
      <c r="I23" s="11" t="str">
        <f>HYPERLINK("https://optomposuda.ru/product/nabor-iz-3h-belyh-svechey-melt-stolbik-10h7-5-v-pod-kor","открыть")</f>
        <v>открыть</v>
      </c>
    </row>
    <row r="24" spans="1:9" x14ac:dyDescent="0.25">
      <c r="A24" t="s">
        <v>652</v>
      </c>
      <c r="B24" t="s">
        <v>653</v>
      </c>
      <c r="C24" t="s">
        <v>625</v>
      </c>
      <c r="D24" s="8">
        <v>1</v>
      </c>
      <c r="E24" s="9">
        <v>3143</v>
      </c>
      <c r="F24" s="8">
        <v>3</v>
      </c>
      <c r="G24" s="10"/>
      <c r="H24" s="9" t="str">
        <f>IF(G24="","",E24*G24)</f>
        <v/>
      </c>
      <c r="I24" s="11" t="str">
        <f>HYPERLINK("https://optomposuda.ru/product/nabor-iz-3h-belyh-svechey-melt-stolbik-15h7-5-v-pod-kor","открыть")</f>
        <v>открыть</v>
      </c>
    </row>
    <row r="25" spans="1:9" x14ac:dyDescent="0.25">
      <c r="A25" t="s">
        <v>654</v>
      </c>
      <c r="B25" t="s">
        <v>655</v>
      </c>
      <c r="C25" t="s">
        <v>625</v>
      </c>
      <c r="D25" s="8">
        <v>1</v>
      </c>
      <c r="E25" s="9">
        <v>3143</v>
      </c>
      <c r="F25" s="8">
        <v>1</v>
      </c>
      <c r="G25" s="10"/>
      <c r="H25" s="9" t="str">
        <f>IF(G25="","",E25*G25)</f>
        <v/>
      </c>
      <c r="I25" s="11" t="str">
        <f>HYPERLINK("https://optomposuda.ru/product/nabor-iz-3h-svechey-burgundiya-melt-stolbik-15h7-5-v-pod-kor","открыть")</f>
        <v>открыть</v>
      </c>
    </row>
    <row r="26" spans="1:9" x14ac:dyDescent="0.25">
      <c r="A26" t="s">
        <v>656</v>
      </c>
      <c r="B26" t="s">
        <v>657</v>
      </c>
      <c r="C26" t="s">
        <v>625</v>
      </c>
      <c r="D26" s="8">
        <v>1</v>
      </c>
      <c r="E26" s="9">
        <v>1568</v>
      </c>
      <c r="F26" s="8">
        <v>1</v>
      </c>
      <c r="G26" s="10"/>
      <c r="H26" s="9" t="str">
        <f>IF(G26="","",E26*G26)</f>
        <v/>
      </c>
      <c r="I26" s="11" t="str">
        <f>HYPERLINK("https://optomposuda.ru/product/nabor-iz-3h-seryh-svechey-melt-kruglye-d-7-5-v-pod-kor","открыть")</f>
        <v>открыть</v>
      </c>
    </row>
    <row r="27" spans="1:9" x14ac:dyDescent="0.25">
      <c r="A27" t="s">
        <v>658</v>
      </c>
      <c r="B27" t="s">
        <v>659</v>
      </c>
      <c r="C27" t="s">
        <v>625</v>
      </c>
      <c r="D27" s="8">
        <v>1</v>
      </c>
      <c r="E27" s="9">
        <v>1568</v>
      </c>
      <c r="F27" s="8">
        <v>1</v>
      </c>
      <c r="G27" s="10"/>
      <c r="H27" s="9" t="str">
        <f>IF(G27="","",E27*G27)</f>
        <v/>
      </c>
      <c r="I27" s="11" t="str">
        <f>HYPERLINK("https://optomposuda.ru/product/nabor-iz-3h-temno-zelenyh-svechey-melt-kruglye-d-7-5-v-pod-kor","открыть")</f>
        <v>открыть</v>
      </c>
    </row>
    <row r="28" spans="1:9" x14ac:dyDescent="0.25">
      <c r="A28" t="s">
        <v>660</v>
      </c>
      <c r="B28" t="s">
        <v>661</v>
      </c>
      <c r="C28" t="s">
        <v>625</v>
      </c>
      <c r="D28" s="8">
        <v>1</v>
      </c>
      <c r="E28" s="9">
        <v>3143</v>
      </c>
      <c r="F28" s="8">
        <v>1</v>
      </c>
      <c r="G28" s="10"/>
      <c r="H28" s="9" t="str">
        <f>IF(G28="","",E28*G28)</f>
        <v/>
      </c>
      <c r="I28" s="11" t="str">
        <f>HYPERLINK("https://optomposuda.ru/product/nabor-iz-3h-temno-zelenyh-svechey-melt-stolbik-15h7-5-v-pod-kor","открыть")</f>
        <v>открыть</v>
      </c>
    </row>
    <row r="29" spans="1:9" x14ac:dyDescent="0.25">
      <c r="A29" t="s">
        <v>662</v>
      </c>
      <c r="B29" t="s">
        <v>663</v>
      </c>
      <c r="C29" t="s">
        <v>625</v>
      </c>
      <c r="D29" s="8">
        <v>1</v>
      </c>
      <c r="E29" s="9">
        <v>2355</v>
      </c>
      <c r="F29" s="8">
        <v>1</v>
      </c>
      <c r="G29" s="10"/>
      <c r="H29" s="9" t="str">
        <f>IF(G29="","",E29*G29)</f>
        <v/>
      </c>
      <c r="I29" s="11" t="str">
        <f>HYPERLINK("https://optomposuda.ru/product/nabor-iz-3h-temno-seryh-svechey-melt-stolbik-10h7-5-v-pod-kor","открыть")</f>
        <v>открыть</v>
      </c>
    </row>
    <row r="30" spans="1:9" x14ac:dyDescent="0.25">
      <c r="A30" t="s">
        <v>664</v>
      </c>
      <c r="B30" t="s">
        <v>665</v>
      </c>
      <c r="C30" t="s">
        <v>625</v>
      </c>
      <c r="D30" s="8">
        <v>1</v>
      </c>
      <c r="E30" s="9">
        <v>60</v>
      </c>
      <c r="F30" s="8">
        <v>1748</v>
      </c>
      <c r="G30" s="10"/>
      <c r="H30" s="9" t="str">
        <f>IF(G30="","",E30*G30)</f>
        <v/>
      </c>
      <c r="I30" s="11" t="str">
        <f>HYPERLINK("https://optomposuda.ru/product/podsvechnik-100-mm","открыть")</f>
        <v>открыть</v>
      </c>
    </row>
    <row r="31" spans="1:9" x14ac:dyDescent="0.25">
      <c r="A31" t="s">
        <v>666</v>
      </c>
      <c r="B31" t="s">
        <v>667</v>
      </c>
      <c r="C31" t="s">
        <v>625</v>
      </c>
      <c r="D31" s="8">
        <v>1</v>
      </c>
      <c r="E31" s="9">
        <v>307.66</v>
      </c>
      <c r="F31" s="8">
        <v>42</v>
      </c>
      <c r="G31" s="10"/>
      <c r="H31" s="9" t="str">
        <f>IF(G31="","",E31*G31)</f>
        <v/>
      </c>
      <c r="I31" s="11" t="str">
        <f>HYPERLINK("https://optomposuda.ru/product/svecha-dekorativnaya-parafinovaya-cvet-krupnoe-serebro-kruglaya-razmer-d-7-5sm-art-36-0616","открыть")</f>
        <v>открыть</v>
      </c>
    </row>
    <row r="32" spans="1:9" x14ac:dyDescent="0.25">
      <c r="A32" t="s">
        <v>668</v>
      </c>
      <c r="B32" t="s">
        <v>669</v>
      </c>
      <c r="C32" t="s">
        <v>625</v>
      </c>
      <c r="D32" s="8">
        <v>1</v>
      </c>
      <c r="E32" s="9">
        <v>362.1</v>
      </c>
      <c r="F32" s="8">
        <v>61</v>
      </c>
      <c r="G32" s="10"/>
      <c r="H32" s="9" t="str">
        <f>IF(G32="","",E32*G32)</f>
        <v/>
      </c>
      <c r="I32" s="11" t="str">
        <f>HYPERLINK("https://optomposuda.ru/product/svecha-dekorativnaya-parafinovaya-cvet-krupnoe-serebro-razmer-7-5x10-sm-art-36-0616-48","открыть")</f>
        <v>открыть</v>
      </c>
    </row>
    <row r="33" spans="1:9" x14ac:dyDescent="0.25">
      <c r="A33" t="s">
        <v>670</v>
      </c>
      <c r="B33" t="s">
        <v>671</v>
      </c>
      <c r="C33" t="s">
        <v>625</v>
      </c>
      <c r="D33" s="8">
        <v>1</v>
      </c>
      <c r="E33" s="9">
        <v>462.52</v>
      </c>
      <c r="F33" s="8">
        <v>69</v>
      </c>
      <c r="G33" s="10"/>
      <c r="H33" s="9" t="str">
        <f>IF(G33="","",E33*G33)</f>
        <v/>
      </c>
      <c r="I33" s="11" t="str">
        <f>HYPERLINK("https://optomposuda.ru/product/svecha-dekorativnaya-parafinovaya-cvet-krupnoe-serebro-razmer-7-5x15-sm-art-36-0616-49","открыть")</f>
        <v>открыть</v>
      </c>
    </row>
    <row r="34" spans="1:9" x14ac:dyDescent="0.25">
      <c r="A34" t="s">
        <v>672</v>
      </c>
      <c r="B34" t="s">
        <v>673</v>
      </c>
      <c r="C34" t="s">
        <v>625</v>
      </c>
      <c r="D34" s="8">
        <v>1</v>
      </c>
      <c r="E34" s="9">
        <v>573.01</v>
      </c>
      <c r="F34" s="8">
        <v>60</v>
      </c>
      <c r="G34" s="10"/>
      <c r="H34" s="9" t="str">
        <f>IF(G34="","",E34*G34)</f>
        <v/>
      </c>
      <c r="I34" s="11" t="str">
        <f>HYPERLINK("https://optomposuda.ru/product/svecha-dekorativnaya-parafinovaya-cvet-krupnoe-serebro-razmer-7-5x20-sm-art-36-0616-50","открыть")</f>
        <v>открыть</v>
      </c>
    </row>
    <row r="35" spans="1:9" x14ac:dyDescent="0.25">
      <c r="A35" t="s">
        <v>674</v>
      </c>
      <c r="B35" t="s">
        <v>675</v>
      </c>
      <c r="C35" t="s">
        <v>625</v>
      </c>
      <c r="D35" s="8">
        <v>1</v>
      </c>
      <c r="E35" s="9">
        <v>321.96</v>
      </c>
      <c r="F35" s="8">
        <v>40</v>
      </c>
      <c r="G35" s="10"/>
      <c r="H35" s="9" t="str">
        <f>IF(G35="","",E35*G35)</f>
        <v/>
      </c>
      <c r="I35" s="11" t="str">
        <f>HYPERLINK("https://optomposuda.ru/product/svecha-dekorativnaya-parafinovaya-cvet-krupnoe-serebro-razmer-7-5x7-5-sm-art-36-0616-47","открыть")</f>
        <v>открыть</v>
      </c>
    </row>
    <row r="36" spans="1:9" x14ac:dyDescent="0.25">
      <c r="A36" s="7" t="s">
        <v>85</v>
      </c>
      <c r="B36" s="7"/>
      <c r="C36" s="7"/>
      <c r="D36" s="7"/>
      <c r="E36" s="7"/>
      <c r="F36" s="7"/>
      <c r="G36" s="7"/>
      <c r="H36" s="7"/>
      <c r="I36" s="7"/>
    </row>
    <row r="37" spans="1:9" x14ac:dyDescent="0.25">
      <c r="A37" t="s">
        <v>676</v>
      </c>
      <c r="B37" t="s">
        <v>677</v>
      </c>
      <c r="C37" t="s">
        <v>625</v>
      </c>
      <c r="D37" s="8">
        <v>1</v>
      </c>
      <c r="E37" s="9">
        <v>560.1</v>
      </c>
      <c r="F37" s="8">
        <v>28</v>
      </c>
      <c r="G37" s="10"/>
      <c r="H37" s="9" t="str">
        <f>IF(G37="","",E37*G37)</f>
        <v/>
      </c>
      <c r="I37" s="11" t="str">
        <f>HYPERLINK("https://optomposuda.ru/product/veshalka-napolnaya-razbornaya-chernyy-art-vnp25","открыть")</f>
        <v>открыть</v>
      </c>
    </row>
    <row r="38" spans="1:9" x14ac:dyDescent="0.25">
      <c r="A38" t="s">
        <v>678</v>
      </c>
      <c r="B38" t="s">
        <v>679</v>
      </c>
      <c r="C38" t="s">
        <v>625</v>
      </c>
      <c r="D38" s="8">
        <v>10</v>
      </c>
      <c r="E38" s="9">
        <v>96.72</v>
      </c>
      <c r="F38" s="8">
        <v>3</v>
      </c>
      <c r="G38" s="10"/>
      <c r="H38" s="9" t="str">
        <f>IF(G38="","",E38*G38)</f>
        <v/>
      </c>
      <c r="I38" s="11" t="str">
        <f>HYPERLINK("https://optomposuda.ru/product/veshalka-nastennaya-standart-3-3-kryuchka-chernyy","открыть")</f>
        <v>открыть</v>
      </c>
    </row>
    <row r="39" spans="1:9" x14ac:dyDescent="0.25">
      <c r="A39" t="s">
        <v>680</v>
      </c>
      <c r="B39" t="s">
        <v>681</v>
      </c>
      <c r="C39" t="s">
        <v>625</v>
      </c>
      <c r="D39" s="8">
        <v>1</v>
      </c>
      <c r="E39" s="9">
        <v>478.36</v>
      </c>
      <c r="F39" s="8">
        <v>25</v>
      </c>
      <c r="G39" s="10"/>
      <c r="H39" s="9" t="str">
        <f>IF(G39="","",E39*G39)</f>
        <v/>
      </c>
      <c r="I39" s="11" t="str">
        <f>HYPERLINK("https://optomposuda.ru/product/sushilka-dlya-belya-nastenno-potolochnaya-8m-snp-1-6-belaya","открыть")</f>
        <v>открыть</v>
      </c>
    </row>
    <row r="40" spans="1:9" x14ac:dyDescent="0.25">
      <c r="A40" t="s">
        <v>682</v>
      </c>
      <c r="B40" t="s">
        <v>683</v>
      </c>
      <c r="C40" t="s">
        <v>625</v>
      </c>
      <c r="D40" s="8">
        <v>1</v>
      </c>
      <c r="E40" s="9">
        <v>511.42</v>
      </c>
      <c r="F40" s="8">
        <v>24</v>
      </c>
      <c r="G40" s="10"/>
      <c r="H40" s="9" t="str">
        <f>IF(G40="","",E40*G40)</f>
        <v/>
      </c>
      <c r="I40" s="11" t="str">
        <f>HYPERLINK("https://optomposuda.ru/product/sushilka-dlya-belya-nastenno-potolochnaya-9m-snp-1-8-belaya","открыть")</f>
        <v>открыть</v>
      </c>
    </row>
  </sheetData>
  <autoFilter ref="A7:I7"/>
  <mergeCells count="8">
    <mergeCell ref="A1:I1"/>
    <mergeCell ref="A2:I2"/>
    <mergeCell ref="A3:I3"/>
    <mergeCell ref="A4:I4"/>
    <mergeCell ref="A8:I8"/>
    <mergeCell ref="A12:I12"/>
    <mergeCell ref="A22:I22"/>
    <mergeCell ref="A36:I36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684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SUM(H8:H51)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685</v>
      </c>
      <c r="B9" t="s">
        <v>686</v>
      </c>
      <c r="C9" t="s">
        <v>684</v>
      </c>
      <c r="D9" s="8">
        <v>10</v>
      </c>
      <c r="E9" s="9">
        <v>299.89</v>
      </c>
      <c r="F9" s="8">
        <v>32</v>
      </c>
      <c r="G9" s="10"/>
      <c r="H9" s="9" t="str">
        <f>IF(G9="","",E9*G9)</f>
        <v/>
      </c>
      <c r="I9" s="11" t="str">
        <f>HYPERLINK("https://optomposuda.ru/product/durshlag-260mm-2-5l-alyuminiy","открыть")</f>
        <v>открыть</v>
      </c>
    </row>
    <row r="10" spans="1:9" x14ac:dyDescent="0.25">
      <c r="A10" t="s">
        <v>687</v>
      </c>
      <c r="B10" t="s">
        <v>688</v>
      </c>
      <c r="C10" t="s">
        <v>684</v>
      </c>
      <c r="D10" s="8">
        <v>100</v>
      </c>
      <c r="E10" s="9">
        <v>31.4</v>
      </c>
      <c r="F10" s="8">
        <v>217</v>
      </c>
      <c r="G10" s="10"/>
      <c r="H10" s="9" t="str">
        <f>IF(G10="","",E10*G10)</f>
        <v/>
      </c>
      <c r="I10" s="11" t="str">
        <f>HYPERLINK("https://optomposuda.ru/product/lozhka-shumovka","открыть")</f>
        <v>открыть</v>
      </c>
    </row>
    <row r="11" spans="1:9" x14ac:dyDescent="0.25">
      <c r="A11" t="s">
        <v>689</v>
      </c>
      <c r="B11" t="s">
        <v>690</v>
      </c>
      <c r="C11" t="s">
        <v>684</v>
      </c>
      <c r="D11" s="8">
        <v>36</v>
      </c>
      <c r="E11" s="9">
        <v>293.93</v>
      </c>
      <c r="F11" s="8">
        <v>91</v>
      </c>
      <c r="G11" s="10"/>
      <c r="H11" s="9" t="str">
        <f>IF(G11="","",E11*G11)</f>
        <v/>
      </c>
      <c r="I11" s="11" t="str">
        <f>HYPERLINK("https://optomposuda.ru/product/razlivatelnaya-kruzhka-1l-mernaya-alyuminiy","открыть")</f>
        <v>открыть</v>
      </c>
    </row>
    <row r="12" spans="1:9" x14ac:dyDescent="0.25">
      <c r="A12" t="s">
        <v>691</v>
      </c>
      <c r="B12" t="s">
        <v>692</v>
      </c>
      <c r="C12" t="s">
        <v>684</v>
      </c>
      <c r="D12" s="8">
        <v>90</v>
      </c>
      <c r="E12" s="9">
        <v>99.22</v>
      </c>
      <c r="F12" s="8">
        <v>198</v>
      </c>
      <c r="G12" s="10"/>
      <c r="H12" s="9" t="str">
        <f>IF(G12="","",E12*G12)</f>
        <v/>
      </c>
      <c r="I12" s="11" t="str">
        <f>HYPERLINK("https://optomposuda.ru/product/razlivatelnaya-lozhka-250-ml","открыть")</f>
        <v>открыть</v>
      </c>
    </row>
    <row r="13" spans="1:9" x14ac:dyDescent="0.25">
      <c r="A13" t="s">
        <v>693</v>
      </c>
      <c r="B13" t="s">
        <v>694</v>
      </c>
      <c r="C13" t="s">
        <v>684</v>
      </c>
      <c r="D13" s="8">
        <v>10</v>
      </c>
      <c r="E13" s="9">
        <v>234.61</v>
      </c>
      <c r="F13" s="8">
        <v>79</v>
      </c>
      <c r="G13" s="10"/>
      <c r="H13" s="9" t="str">
        <f>IF(G13="","",E13*G13)</f>
        <v/>
      </c>
      <c r="I13" s="11" t="str">
        <f>HYPERLINK("https://optomposuda.ru/product/sovok-alyuminievyy-0-8l-dlya-sypuchih-produktov","открыть")</f>
        <v>открыть</v>
      </c>
    </row>
    <row r="14" spans="1:9" x14ac:dyDescent="0.25">
      <c r="A14" t="s">
        <v>695</v>
      </c>
      <c r="B14" t="s">
        <v>696</v>
      </c>
      <c r="C14" t="s">
        <v>684</v>
      </c>
      <c r="D14" s="8">
        <v>20</v>
      </c>
      <c r="E14" s="9">
        <v>79.3</v>
      </c>
      <c r="F14" s="8">
        <v>47</v>
      </c>
      <c r="G14" s="10"/>
      <c r="H14" s="9" t="str">
        <f>IF(G14="","",E14*G14)</f>
        <v/>
      </c>
      <c r="I14" s="11" t="str">
        <f>HYPERLINK("https://optomposuda.ru/product/shumovka","открыть")</f>
        <v>открыть</v>
      </c>
    </row>
    <row r="15" spans="1:9" x14ac:dyDescent="0.25">
      <c r="A15" s="7" t="s">
        <v>199</v>
      </c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t="s">
        <v>697</v>
      </c>
      <c r="B16" t="s">
        <v>698</v>
      </c>
      <c r="C16" t="s">
        <v>684</v>
      </c>
      <c r="D16" s="8">
        <v>1</v>
      </c>
      <c r="E16" s="9">
        <v>2351.9</v>
      </c>
      <c r="F16" s="8">
        <v>82</v>
      </c>
      <c r="G16" s="10"/>
      <c r="H16" s="9" t="str">
        <f>IF(G16="","",E16*G16)</f>
        <v/>
      </c>
      <c r="I16" s="11" t="str">
        <f>HYPERLINK("https://optomposuda.ru/product/manty-kazan-15-l-4-diska-34sm-alyuminiy","открыть")</f>
        <v>открыть</v>
      </c>
    </row>
    <row r="17" spans="1:9" x14ac:dyDescent="0.25">
      <c r="A17" t="s">
        <v>699</v>
      </c>
      <c r="B17" t="s">
        <v>700</v>
      </c>
      <c r="C17" t="s">
        <v>684</v>
      </c>
      <c r="D17" s="8">
        <v>1</v>
      </c>
      <c r="E17" s="9">
        <v>1564.16</v>
      </c>
      <c r="F17" s="8">
        <v>171</v>
      </c>
      <c r="G17" s="10"/>
      <c r="H17" s="9" t="str">
        <f>IF(G17="","",E17*G17)</f>
        <v/>
      </c>
      <c r="I17" s="11" t="str">
        <f>HYPERLINK("https://optomposuda.ru/product/manty-kazan-alyuminievyy-6l-4-sekcii-diametr26sm","открыть")</f>
        <v>открыть</v>
      </c>
    </row>
    <row r="18" spans="1:9" x14ac:dyDescent="0.25">
      <c r="A18" t="s">
        <v>701</v>
      </c>
      <c r="B18" t="s">
        <v>702</v>
      </c>
      <c r="C18" t="s">
        <v>684</v>
      </c>
      <c r="D18" s="8">
        <v>1</v>
      </c>
      <c r="E18" s="9">
        <v>1294.07</v>
      </c>
      <c r="F18" s="8">
        <v>33</v>
      </c>
      <c r="G18" s="10"/>
      <c r="H18" s="9" t="str">
        <f>IF(G18="","",E18*G18)</f>
        <v/>
      </c>
      <c r="I18" s="11" t="str">
        <f>HYPERLINK("https://optomposuda.ru/product/manty-kazan-alyuminievyy-6l-4-setki","открыть")</f>
        <v>открыть</v>
      </c>
    </row>
    <row r="19" spans="1:9" x14ac:dyDescent="0.25">
      <c r="A19" s="7" t="s">
        <v>145</v>
      </c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t="s">
        <v>703</v>
      </c>
      <c r="B20" t="s">
        <v>704</v>
      </c>
      <c r="C20" t="s">
        <v>684</v>
      </c>
      <c r="D20" s="8">
        <v>18</v>
      </c>
      <c r="E20" s="9">
        <v>248.88</v>
      </c>
      <c r="F20" s="8">
        <v>13</v>
      </c>
      <c r="G20" s="10"/>
      <c r="H20" s="9" t="str">
        <f>IF(G20="","",E20*G20)</f>
        <v/>
      </c>
      <c r="I20" s="11" t="str">
        <f>HYPERLINK("https://optomposuda.ru/product/kastryulya-0-5-l-1-r-met-k-kovsh","открыть")</f>
        <v>открыть</v>
      </c>
    </row>
    <row r="21" spans="1:9" x14ac:dyDescent="0.25">
      <c r="A21" t="s">
        <v>705</v>
      </c>
      <c r="B21" t="s">
        <v>706</v>
      </c>
      <c r="C21" t="s">
        <v>684</v>
      </c>
      <c r="D21" s="8">
        <v>4</v>
      </c>
      <c r="E21" s="9">
        <v>988.54</v>
      </c>
      <c r="F21" s="8">
        <v>53</v>
      </c>
      <c r="G21" s="10"/>
      <c r="H21" s="9" t="str">
        <f>IF(G21="","",E21*G21)</f>
        <v/>
      </c>
      <c r="I21" s="11" t="str">
        <f>HYPERLINK("https://optomposuda.ru/product/kastryulya-10-l-cil-alyuminiy","открыть")</f>
        <v>открыть</v>
      </c>
    </row>
    <row r="22" spans="1:9" x14ac:dyDescent="0.25">
      <c r="A22" t="s">
        <v>707</v>
      </c>
      <c r="B22" t="s">
        <v>708</v>
      </c>
      <c r="C22" t="s">
        <v>684</v>
      </c>
      <c r="D22" s="8">
        <v>4</v>
      </c>
      <c r="E22" s="9">
        <v>917.09</v>
      </c>
      <c r="F22" s="8">
        <v>135</v>
      </c>
      <c r="G22" s="10"/>
      <c r="H22" s="9" t="str">
        <f>IF(G22="","",E22*G22)</f>
        <v/>
      </c>
      <c r="I22" s="11" t="str">
        <f>HYPERLINK("https://optomposuda.ru/product/kastryulya-13-l-sfericheskaya-alyuminiy","открыть")</f>
        <v>открыть</v>
      </c>
    </row>
    <row r="23" spans="1:9" x14ac:dyDescent="0.25">
      <c r="A23" t="s">
        <v>709</v>
      </c>
      <c r="B23" t="s">
        <v>710</v>
      </c>
      <c r="C23" t="s">
        <v>684</v>
      </c>
      <c r="D23" s="8">
        <v>12</v>
      </c>
      <c r="E23" s="9">
        <v>383.79</v>
      </c>
      <c r="F23" s="8">
        <v>104</v>
      </c>
      <c r="G23" s="10"/>
      <c r="H23" s="9" t="str">
        <f>IF(G23="","",E23*G23)</f>
        <v/>
      </c>
      <c r="I23" s="11" t="str">
        <f>HYPERLINK("https://optomposuda.ru/product/kastryulya-2-5-l-cil-alyumin","открыть")</f>
        <v>открыть</v>
      </c>
    </row>
    <row r="24" spans="1:9" x14ac:dyDescent="0.25">
      <c r="A24" t="s">
        <v>711</v>
      </c>
      <c r="B24" t="s">
        <v>712</v>
      </c>
      <c r="C24" t="s">
        <v>684</v>
      </c>
      <c r="D24" s="8">
        <v>8</v>
      </c>
      <c r="E24" s="9">
        <v>519.86</v>
      </c>
      <c r="F24" s="8">
        <v>112</v>
      </c>
      <c r="G24" s="10"/>
      <c r="H24" s="9" t="str">
        <f>IF(G24="","",E24*G24)</f>
        <v/>
      </c>
      <c r="I24" s="11" t="str">
        <f>HYPERLINK("https://optomposuda.ru/product/kastryulya-3-5-l-cil-alyumin","открыть")</f>
        <v>открыть</v>
      </c>
    </row>
    <row r="25" spans="1:9" x14ac:dyDescent="0.25">
      <c r="A25" t="s">
        <v>713</v>
      </c>
      <c r="B25" t="s">
        <v>714</v>
      </c>
      <c r="C25" t="s">
        <v>684</v>
      </c>
      <c r="D25" s="8">
        <v>8</v>
      </c>
      <c r="E25" s="9">
        <v>418.38</v>
      </c>
      <c r="F25" s="8">
        <v>4</v>
      </c>
      <c r="G25" s="10"/>
      <c r="H25" s="9" t="str">
        <f>IF(G25="","",E25*G25)</f>
        <v/>
      </c>
      <c r="I25" s="11" t="str">
        <f>HYPERLINK("https://optomposuda.ru/product/kastryulya-4-5-l-cil-alyumin","открыть")</f>
        <v>открыть</v>
      </c>
    </row>
    <row r="26" spans="1:9" x14ac:dyDescent="0.25">
      <c r="A26" t="s">
        <v>715</v>
      </c>
      <c r="B26" t="s">
        <v>716</v>
      </c>
      <c r="C26" t="s">
        <v>684</v>
      </c>
      <c r="D26" s="8">
        <v>4</v>
      </c>
      <c r="E26" s="9">
        <v>886.19</v>
      </c>
      <c r="F26" s="8">
        <v>84</v>
      </c>
      <c r="G26" s="10"/>
      <c r="H26" s="9" t="str">
        <f>IF(G26="","",E26*G26)</f>
        <v/>
      </c>
      <c r="I26" s="11" t="str">
        <f>HYPERLINK("https://optomposuda.ru/product/kastryulya-8-l-cilindrich-alyuminiy","открыть")</f>
        <v>открыть</v>
      </c>
    </row>
    <row r="27" spans="1:9" x14ac:dyDescent="0.25">
      <c r="A27" t="s">
        <v>717</v>
      </c>
      <c r="B27" t="s">
        <v>718</v>
      </c>
      <c r="C27" t="s">
        <v>684</v>
      </c>
      <c r="D27" s="8">
        <v>8</v>
      </c>
      <c r="E27" s="9">
        <v>200.35</v>
      </c>
      <c r="F27" s="8">
        <v>48</v>
      </c>
      <c r="G27" s="10"/>
      <c r="H27" s="9" t="str">
        <f>IF(G27="","",E27*G27)</f>
        <v/>
      </c>
      <c r="I27" s="11" t="str">
        <f>HYPERLINK("https://optomposuda.ru/product/kovsh-1-2-l-alyuminiy","открыть")</f>
        <v>открыть</v>
      </c>
    </row>
    <row r="28" spans="1:9" x14ac:dyDescent="0.25">
      <c r="A28" t="s">
        <v>719</v>
      </c>
      <c r="B28" t="s">
        <v>720</v>
      </c>
      <c r="C28" t="s">
        <v>684</v>
      </c>
      <c r="D28" s="8">
        <v>2</v>
      </c>
      <c r="E28" s="9">
        <v>2144.36</v>
      </c>
      <c r="F28" s="8">
        <v>14</v>
      </c>
      <c r="G28" s="10"/>
      <c r="H28" s="9" t="str">
        <f>IF(G28="","",E28*G28)</f>
        <v/>
      </c>
      <c r="I28" s="11" t="str">
        <f>HYPERLINK("https://optomposuda.ru/product/kotel-20-l-alyuminiy","открыть")</f>
        <v>открыть</v>
      </c>
    </row>
    <row r="29" spans="1:9" x14ac:dyDescent="0.25">
      <c r="A29" t="s">
        <v>721</v>
      </c>
      <c r="B29" t="s">
        <v>722</v>
      </c>
      <c r="C29" t="s">
        <v>684</v>
      </c>
      <c r="D29" s="8">
        <v>1</v>
      </c>
      <c r="E29" s="9">
        <v>2692.59</v>
      </c>
      <c r="F29" s="8">
        <v>21</v>
      </c>
      <c r="G29" s="10"/>
      <c r="H29" s="9" t="str">
        <f>IF(G29="","",E29*G29)</f>
        <v/>
      </c>
      <c r="I29" s="11" t="str">
        <f>HYPERLINK("https://optomposuda.ru/product/kotel-30-l-alyuminiy","открыть")</f>
        <v>открыть</v>
      </c>
    </row>
    <row r="30" spans="1:9" x14ac:dyDescent="0.25">
      <c r="A30" t="s">
        <v>723</v>
      </c>
      <c r="B30" t="s">
        <v>724</v>
      </c>
      <c r="C30" t="s">
        <v>684</v>
      </c>
      <c r="D30" s="8">
        <v>1</v>
      </c>
      <c r="E30" s="9">
        <v>3155.14</v>
      </c>
      <c r="F30" s="8">
        <v>12</v>
      </c>
      <c r="G30" s="10"/>
      <c r="H30" s="9" t="str">
        <f>IF(G30="","",E30*G30)</f>
        <v/>
      </c>
      <c r="I30" s="11" t="str">
        <f>HYPERLINK("https://optomposuda.ru/product/kotel-40-l-alyuminiy","открыть")</f>
        <v>открыть</v>
      </c>
    </row>
    <row r="31" spans="1:9" x14ac:dyDescent="0.25">
      <c r="A31" t="s">
        <v>725</v>
      </c>
      <c r="B31" t="s">
        <v>726</v>
      </c>
      <c r="C31" t="s">
        <v>684</v>
      </c>
      <c r="D31" s="8">
        <v>1</v>
      </c>
      <c r="E31" s="9">
        <v>3886.1</v>
      </c>
      <c r="F31" s="8">
        <v>3</v>
      </c>
      <c r="G31" s="10"/>
      <c r="H31" s="9" t="str">
        <f>IF(G31="","",E31*G31)</f>
        <v/>
      </c>
      <c r="I31" s="11" t="str">
        <f>HYPERLINK("https://optomposuda.ru/product/kotel-50-l-alyuminiy","открыть")</f>
        <v>открыть</v>
      </c>
    </row>
    <row r="32" spans="1:9" x14ac:dyDescent="0.25">
      <c r="A32" t="s">
        <v>727</v>
      </c>
      <c r="B32" t="s">
        <v>728</v>
      </c>
      <c r="C32" t="s">
        <v>684</v>
      </c>
      <c r="D32" s="8">
        <v>5</v>
      </c>
      <c r="E32" s="9">
        <v>898.41</v>
      </c>
      <c r="F32" s="8">
        <v>264</v>
      </c>
      <c r="G32" s="10"/>
      <c r="H32" s="9" t="str">
        <f>IF(G32="","",E32*G32)</f>
        <v/>
      </c>
      <c r="I32" s="11" t="str">
        <f>HYPERLINK("https://optomposuda.ru/product/poddon-540h340h70-mm","открыть")</f>
        <v>открыть</v>
      </c>
    </row>
    <row r="33" spans="1:9" x14ac:dyDescent="0.25">
      <c r="A33" t="s">
        <v>729</v>
      </c>
      <c r="B33" t="s">
        <v>730</v>
      </c>
      <c r="C33" t="s">
        <v>684</v>
      </c>
      <c r="D33" s="8">
        <v>5</v>
      </c>
      <c r="E33" s="9">
        <v>953.64</v>
      </c>
      <c r="F33" s="8">
        <v>79</v>
      </c>
      <c r="G33" s="10"/>
      <c r="H33" s="9" t="str">
        <f>IF(G33="","",E33*G33)</f>
        <v/>
      </c>
      <c r="I33" s="11" t="str">
        <f>HYPERLINK("https://optomposuda.ru/product/poddon-630h430h35-mm","открыть")</f>
        <v>открыть</v>
      </c>
    </row>
    <row r="34" spans="1:9" x14ac:dyDescent="0.25">
      <c r="A34" t="s">
        <v>731</v>
      </c>
      <c r="B34" t="s">
        <v>732</v>
      </c>
      <c r="C34" t="s">
        <v>684</v>
      </c>
      <c r="D34" s="8">
        <v>5</v>
      </c>
      <c r="E34" s="9">
        <v>1389.88</v>
      </c>
      <c r="F34" s="8">
        <v>55</v>
      </c>
      <c r="G34" s="10"/>
      <c r="H34" s="9" t="str">
        <f>IF(G34="","",E34*G34)</f>
        <v/>
      </c>
      <c r="I34" s="11" t="str">
        <f>HYPERLINK("https://optomposuda.ru/product/poddon-s-kryshkoy-540h340h70-mm","открыть")</f>
        <v>открыть</v>
      </c>
    </row>
    <row r="35" spans="1:9" x14ac:dyDescent="0.25">
      <c r="A35" t="s">
        <v>733</v>
      </c>
      <c r="B35" t="s">
        <v>734</v>
      </c>
      <c r="C35" t="s">
        <v>684</v>
      </c>
      <c r="D35" s="8">
        <v>8</v>
      </c>
      <c r="E35" s="9">
        <v>491.74</v>
      </c>
      <c r="F35" s="8">
        <v>55</v>
      </c>
      <c r="G35" s="10"/>
      <c r="H35" s="9" t="str">
        <f>IF(G35="","",E35*G35)</f>
        <v/>
      </c>
      <c r="I35" s="11" t="str">
        <f>HYPERLINK("https://optomposuda.ru/product/skovoroda-konsul-d-200-st-kr","открыть")</f>
        <v>открыть</v>
      </c>
    </row>
    <row r="36" spans="1:9" x14ac:dyDescent="0.25">
      <c r="A36" t="s">
        <v>735</v>
      </c>
      <c r="B36" t="s">
        <v>736</v>
      </c>
      <c r="C36" t="s">
        <v>684</v>
      </c>
      <c r="D36" s="8">
        <v>8</v>
      </c>
      <c r="E36" s="9">
        <v>540.92</v>
      </c>
      <c r="F36" s="8">
        <v>70</v>
      </c>
      <c r="G36" s="10"/>
      <c r="H36" s="9" t="str">
        <f>IF(G36="","",E36*G36)</f>
        <v/>
      </c>
      <c r="I36" s="11" t="str">
        <f>HYPERLINK("https://optomposuda.ru/product/skovoroda-konsul-d-220-st-kr","открыть")</f>
        <v>открыть</v>
      </c>
    </row>
    <row r="37" spans="1:9" x14ac:dyDescent="0.25">
      <c r="A37" t="s">
        <v>737</v>
      </c>
      <c r="B37" t="s">
        <v>738</v>
      </c>
      <c r="C37" t="s">
        <v>684</v>
      </c>
      <c r="D37" s="8">
        <v>8</v>
      </c>
      <c r="E37" s="9">
        <v>595.45</v>
      </c>
      <c r="F37" s="8">
        <v>172</v>
      </c>
      <c r="G37" s="10"/>
      <c r="H37" s="9" t="str">
        <f>IF(G37="","",E37*G37)</f>
        <v/>
      </c>
      <c r="I37" s="11" t="str">
        <f>HYPERLINK("https://optomposuda.ru/product/skovoroda-konsul-d-240-st-kr","открыть")</f>
        <v>открыть</v>
      </c>
    </row>
    <row r="38" spans="1:9" x14ac:dyDescent="0.25">
      <c r="A38" t="s">
        <v>739</v>
      </c>
      <c r="B38" t="s">
        <v>740</v>
      </c>
      <c r="C38" t="s">
        <v>684</v>
      </c>
      <c r="D38" s="8">
        <v>8</v>
      </c>
      <c r="E38" s="9">
        <v>654.99</v>
      </c>
      <c r="F38" s="8">
        <v>159</v>
      </c>
      <c r="G38" s="10"/>
      <c r="H38" s="9" t="str">
        <f>IF(G38="","",E38*G38)</f>
        <v/>
      </c>
      <c r="I38" s="11" t="str">
        <f>HYPERLINK("https://optomposuda.ru/product/skovoroda-konsul-d-260-st-kr","открыть")</f>
        <v>открыть</v>
      </c>
    </row>
    <row r="39" spans="1:9" x14ac:dyDescent="0.25">
      <c r="A39" t="s">
        <v>741</v>
      </c>
      <c r="B39" t="s">
        <v>742</v>
      </c>
      <c r="C39" t="s">
        <v>684</v>
      </c>
      <c r="D39" s="8">
        <v>8</v>
      </c>
      <c r="E39" s="9">
        <v>719.96</v>
      </c>
      <c r="F39" s="8">
        <v>109</v>
      </c>
      <c r="G39" s="10"/>
      <c r="H39" s="9" t="str">
        <f>IF(G39="","",E39*G39)</f>
        <v/>
      </c>
      <c r="I39" s="11" t="str">
        <f>HYPERLINK("https://optomposuda.ru/product/skovoroda-konsul-d-280-st-kr","открыть")</f>
        <v>открыть</v>
      </c>
    </row>
    <row r="40" spans="1:9" x14ac:dyDescent="0.25">
      <c r="A40" t="s">
        <v>743</v>
      </c>
      <c r="B40" t="s">
        <v>744</v>
      </c>
      <c r="C40" t="s">
        <v>684</v>
      </c>
      <c r="D40" s="8">
        <v>4</v>
      </c>
      <c r="E40" s="9">
        <v>1044.03</v>
      </c>
      <c r="F40" s="8">
        <v>1</v>
      </c>
      <c r="G40" s="10"/>
      <c r="H40" s="9" t="str">
        <f>IF(G40="","",E40*G40)</f>
        <v/>
      </c>
      <c r="I40" s="11" t="str">
        <f>HYPERLINK("https://optomposuda.ru/product/soteynik-d-240","открыть")</f>
        <v>открыть</v>
      </c>
    </row>
    <row r="41" spans="1:9" x14ac:dyDescent="0.25">
      <c r="A41" s="7" t="s">
        <v>74</v>
      </c>
      <c r="B41" s="7"/>
      <c r="C41" s="7"/>
      <c r="D41" s="7"/>
      <c r="E41" s="7"/>
      <c r="F41" s="7"/>
      <c r="G41" s="7"/>
      <c r="H41" s="7"/>
      <c r="I41" s="7"/>
    </row>
    <row r="42" spans="1:9" x14ac:dyDescent="0.25">
      <c r="A42" t="s">
        <v>745</v>
      </c>
      <c r="B42" t="s">
        <v>746</v>
      </c>
      <c r="C42" t="s">
        <v>684</v>
      </c>
      <c r="D42" s="8">
        <v>700</v>
      </c>
      <c r="E42" s="9">
        <v>11.98</v>
      </c>
      <c r="F42" s="8">
        <v>2367</v>
      </c>
      <c r="G42" s="10"/>
      <c r="H42" s="9" t="str">
        <f>IF(G42="","",E42*G42)</f>
        <v/>
      </c>
      <c r="I42" s="11" t="str">
        <f>HYPERLINK("https://optomposuda.ru/product/vilka-stolovaya-alyuminiy","открыть")</f>
        <v>открыть</v>
      </c>
    </row>
    <row r="43" spans="1:9" x14ac:dyDescent="0.25">
      <c r="A43" t="s">
        <v>747</v>
      </c>
      <c r="B43" t="s">
        <v>748</v>
      </c>
      <c r="C43" t="s">
        <v>684</v>
      </c>
      <c r="D43" s="8">
        <v>24</v>
      </c>
      <c r="E43" s="9">
        <v>161.66</v>
      </c>
      <c r="F43" s="8">
        <v>25</v>
      </c>
      <c r="G43" s="10"/>
      <c r="H43" s="9" t="str">
        <f>IF(G43="","",E43*G43)</f>
        <v/>
      </c>
      <c r="I43" s="11" t="str">
        <f>HYPERLINK("https://optomposuda.ru/product/kruzhka-pitevaya-0-5-l-alyumin","открыть")</f>
        <v>открыть</v>
      </c>
    </row>
    <row r="44" spans="1:9" x14ac:dyDescent="0.25">
      <c r="A44" t="s">
        <v>749</v>
      </c>
      <c r="B44" t="s">
        <v>750</v>
      </c>
      <c r="C44" t="s">
        <v>684</v>
      </c>
      <c r="D44" s="8">
        <v>400</v>
      </c>
      <c r="E44" s="9">
        <v>30.24</v>
      </c>
      <c r="F44" s="8">
        <v>1453</v>
      </c>
      <c r="G44" s="10"/>
      <c r="H44" s="9" t="str">
        <f>IF(G44="","",E44*G44)</f>
        <v/>
      </c>
      <c r="I44" s="11" t="str">
        <f>HYPERLINK("https://optomposuda.ru/product/lozhka-stolovaya-alyumin","открыть")</f>
        <v>открыть</v>
      </c>
    </row>
    <row r="45" spans="1:9" x14ac:dyDescent="0.25">
      <c r="A45" t="s">
        <v>751</v>
      </c>
      <c r="B45" t="s">
        <v>752</v>
      </c>
      <c r="C45" t="s">
        <v>684</v>
      </c>
      <c r="D45" s="8">
        <v>850</v>
      </c>
      <c r="E45" s="9">
        <v>11.98</v>
      </c>
      <c r="F45" s="8">
        <v>2318</v>
      </c>
      <c r="G45" s="10"/>
      <c r="H45" s="9" t="str">
        <f>IF(G45="","",E45*G45)</f>
        <v/>
      </c>
      <c r="I45" s="11" t="str">
        <f>HYPERLINK("https://optomposuda.ru/product/lozhka-chaynaya-alyuminiy","открыть")</f>
        <v>открыть</v>
      </c>
    </row>
    <row r="46" spans="1:9" x14ac:dyDescent="0.25">
      <c r="A46" t="s">
        <v>753</v>
      </c>
      <c r="B46" t="s">
        <v>754</v>
      </c>
      <c r="C46" t="s">
        <v>684</v>
      </c>
      <c r="D46" s="8">
        <v>60</v>
      </c>
      <c r="E46" s="9">
        <v>107.79</v>
      </c>
      <c r="F46" s="8">
        <v>1</v>
      </c>
      <c r="G46" s="10"/>
      <c r="H46" s="9" t="str">
        <f>IF(G46="","",E46*G46)</f>
        <v/>
      </c>
      <c r="I46" s="11" t="str">
        <f>HYPERLINK("https://optomposuda.ru/product/miska-d-180-mm-0-75l","открыть")</f>
        <v>открыть</v>
      </c>
    </row>
    <row r="47" spans="1:9" x14ac:dyDescent="0.25">
      <c r="A47" t="s">
        <v>755</v>
      </c>
      <c r="B47" t="s">
        <v>756</v>
      </c>
      <c r="C47" t="s">
        <v>684</v>
      </c>
      <c r="D47" s="8">
        <v>8</v>
      </c>
      <c r="E47" s="9">
        <v>495.8</v>
      </c>
      <c r="F47" s="8">
        <v>90</v>
      </c>
      <c r="G47" s="10"/>
      <c r="H47" s="9" t="str">
        <f>IF(G47="","",E47*G47)</f>
        <v/>
      </c>
      <c r="I47" s="11" t="str">
        <f>HYPERLINK("https://optomposuda.ru/product/miska-d-360-mm-10l","открыть")</f>
        <v>открыть</v>
      </c>
    </row>
    <row r="48" spans="1:9" x14ac:dyDescent="0.25">
      <c r="A48" t="s">
        <v>757</v>
      </c>
      <c r="B48" t="s">
        <v>758</v>
      </c>
      <c r="C48" t="s">
        <v>684</v>
      </c>
      <c r="D48" s="8">
        <v>6</v>
      </c>
      <c r="E48" s="9">
        <v>722.48</v>
      </c>
      <c r="F48" s="8">
        <v>154</v>
      </c>
      <c r="G48" s="10"/>
      <c r="H48" s="9" t="str">
        <f>IF(G48="","",E48*G48)</f>
        <v/>
      </c>
      <c r="I48" s="11" t="str">
        <f>HYPERLINK("https://optomposuda.ru/product/miska-d-360-mm-10l-met-k","открыть")</f>
        <v>открыть</v>
      </c>
    </row>
    <row r="49" spans="1:9" x14ac:dyDescent="0.25">
      <c r="A49" s="7" t="s">
        <v>85</v>
      </c>
      <c r="B49" s="7"/>
      <c r="C49" s="7"/>
      <c r="D49" s="7"/>
      <c r="E49" s="7"/>
      <c r="F49" s="7"/>
      <c r="G49" s="7"/>
      <c r="H49" s="7"/>
      <c r="I49" s="7"/>
    </row>
    <row r="50" spans="1:9" x14ac:dyDescent="0.25">
      <c r="A50" t="s">
        <v>759</v>
      </c>
      <c r="B50" t="s">
        <v>760</v>
      </c>
      <c r="C50" t="s">
        <v>684</v>
      </c>
      <c r="D50" s="8">
        <v>3</v>
      </c>
      <c r="E50" s="9">
        <v>1299.96</v>
      </c>
      <c r="F50" s="8">
        <v>70</v>
      </c>
      <c r="G50" s="10"/>
      <c r="H50" s="9" t="str">
        <f>IF(G50="","",E50*G50)</f>
        <v/>
      </c>
      <c r="I50" s="11" t="str">
        <f>HYPERLINK("https://optomposuda.ru/product/bidon-10-l-alyuminievyy","открыть")</f>
        <v>открыть</v>
      </c>
    </row>
    <row r="51" spans="1:9" x14ac:dyDescent="0.25">
      <c r="A51" t="s">
        <v>761</v>
      </c>
      <c r="B51" t="s">
        <v>762</v>
      </c>
      <c r="C51" t="s">
        <v>684</v>
      </c>
      <c r="D51" s="8">
        <v>3</v>
      </c>
      <c r="E51" s="9">
        <v>1461.32</v>
      </c>
      <c r="F51" s="8">
        <v>19</v>
      </c>
      <c r="G51" s="10"/>
      <c r="H51" s="9" t="str">
        <f>IF(G51="","",E51*G51)</f>
        <v/>
      </c>
      <c r="I51" s="11" t="str">
        <f>HYPERLINK("https://optomposuda.ru/product/kanistra-10-l-alyuminiev","открыть")</f>
        <v>открыть</v>
      </c>
    </row>
  </sheetData>
  <autoFilter ref="A7:I7"/>
  <mergeCells count="9">
    <mergeCell ref="A1:I1"/>
    <mergeCell ref="A2:I2"/>
    <mergeCell ref="A3:I3"/>
    <mergeCell ref="A4:I4"/>
    <mergeCell ref="A8:I8"/>
    <mergeCell ref="A15:I15"/>
    <mergeCell ref="A19:I19"/>
    <mergeCell ref="A41:I41"/>
    <mergeCell ref="A49:I49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7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763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SUM(H8:H517)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764</v>
      </c>
      <c r="B9" t="s">
        <v>765</v>
      </c>
      <c r="C9" t="s">
        <v>763</v>
      </c>
      <c r="D9" s="8">
        <v>10</v>
      </c>
      <c r="E9" s="9">
        <v>568.23</v>
      </c>
      <c r="F9" s="8">
        <v>56</v>
      </c>
      <c r="G9" s="10"/>
      <c r="H9" s="9" t="str">
        <f>IF(G9="","",E9*G9)</f>
        <v/>
      </c>
      <c r="I9" s="11" t="str">
        <f>HYPERLINK("https://optomposuda.ru/product/vanna-detskaya-maksi-cveta-v-assortimente","открыть")</f>
        <v>открыть</v>
      </c>
    </row>
    <row r="10" spans="1:9" x14ac:dyDescent="0.25">
      <c r="A10" t="s">
        <v>766</v>
      </c>
      <c r="B10" t="s">
        <v>767</v>
      </c>
      <c r="C10" t="s">
        <v>763</v>
      </c>
      <c r="D10" s="8">
        <v>10</v>
      </c>
      <c r="E10" s="9">
        <v>546.85</v>
      </c>
      <c r="F10" s="8">
        <v>3</v>
      </c>
      <c r="G10" s="10"/>
      <c r="H10" s="9" t="str">
        <f>IF(G10="","",E10*G10)</f>
        <v/>
      </c>
      <c r="I10" s="11" t="str">
        <f>HYPERLINK("https://optomposuda.ru/product/vanna-detskaya-cveta-v-assortimente","открыть")</f>
        <v>открыть</v>
      </c>
    </row>
    <row r="11" spans="1:9" x14ac:dyDescent="0.25">
      <c r="A11" t="s">
        <v>768</v>
      </c>
      <c r="B11" t="s">
        <v>769</v>
      </c>
      <c r="C11" t="s">
        <v>763</v>
      </c>
      <c r="D11" s="8">
        <v>12</v>
      </c>
      <c r="E11" s="9">
        <v>86.29</v>
      </c>
      <c r="F11" s="8">
        <v>324</v>
      </c>
      <c r="G11" s="10"/>
      <c r="H11" s="9" t="str">
        <f>IF(G11="","",E11*G11)</f>
        <v/>
      </c>
      <c r="I11" s="11" t="str">
        <f>HYPERLINK("https://optomposuda.ru/product/vantuz-ariel","открыть")</f>
        <v>открыть</v>
      </c>
    </row>
    <row r="12" spans="1:9" x14ac:dyDescent="0.25">
      <c r="A12" t="s">
        <v>770</v>
      </c>
      <c r="B12" t="s">
        <v>771</v>
      </c>
      <c r="C12" t="s">
        <v>763</v>
      </c>
      <c r="D12" s="8">
        <v>24</v>
      </c>
      <c r="E12" s="9">
        <v>112.45</v>
      </c>
      <c r="F12" s="8">
        <v>435</v>
      </c>
      <c r="G12" s="10"/>
      <c r="H12" s="9" t="str">
        <f>IF(G12="","",E12*G12)</f>
        <v/>
      </c>
      <c r="I12" s="11" t="str">
        <f>HYPERLINK("https://optomposuda.ru/product/vantuz-pump","открыть")</f>
        <v>открыть</v>
      </c>
    </row>
    <row r="13" spans="1:9" x14ac:dyDescent="0.25">
      <c r="A13" t="s">
        <v>772</v>
      </c>
      <c r="B13" t="s">
        <v>773</v>
      </c>
      <c r="C13" t="s">
        <v>763</v>
      </c>
      <c r="D13" s="8">
        <v>10</v>
      </c>
      <c r="E13" s="9">
        <v>843.81</v>
      </c>
      <c r="F13" s="8">
        <v>3</v>
      </c>
      <c r="G13" s="10"/>
      <c r="H13" s="9" t="str">
        <f>IF(G13="","",E13*G13)</f>
        <v/>
      </c>
      <c r="I13" s="11" t="str">
        <f>HYPERLINK("https://optomposuda.ru/product/gorka-dlya-kupaniya-splash-cveta-v-assortimente","открыть")</f>
        <v>открыть</v>
      </c>
    </row>
    <row r="14" spans="1:9" x14ac:dyDescent="0.25">
      <c r="A14" t="s">
        <v>774</v>
      </c>
      <c r="B14" t="s">
        <v>775</v>
      </c>
      <c r="C14" t="s">
        <v>763</v>
      </c>
      <c r="D14" s="8">
        <v>10</v>
      </c>
      <c r="E14" s="9">
        <v>228.32</v>
      </c>
      <c r="F14" s="8">
        <v>26</v>
      </c>
      <c r="G14" s="10"/>
      <c r="H14" s="9" t="str">
        <f>IF(G14="","",E14*G14)</f>
        <v/>
      </c>
      <c r="I14" s="11" t="str">
        <f>HYPERLINK("https://optomposuda.ru/product/gorka-dlya-kupaniya-detskaya-540h265h215-cveta-v-assortimente","открыть")</f>
        <v>открыть</v>
      </c>
    </row>
    <row r="15" spans="1:9" x14ac:dyDescent="0.25">
      <c r="A15" t="s">
        <v>776</v>
      </c>
      <c r="B15" t="s">
        <v>777</v>
      </c>
      <c r="C15" t="s">
        <v>763</v>
      </c>
      <c r="D15" s="8">
        <v>30</v>
      </c>
      <c r="E15" s="9">
        <v>130.31</v>
      </c>
      <c r="F15" s="8">
        <v>34</v>
      </c>
      <c r="G15" s="10"/>
      <c r="H15" s="9" t="str">
        <f>IF(G15="","",E15*G15)</f>
        <v/>
      </c>
      <c r="I15" s="11" t="str">
        <f>HYPERLINK("https://optomposuda.ru/product/gorshok-gnomik-285h290h205-cveta-v-assortimente","открыть")</f>
        <v>открыть</v>
      </c>
    </row>
    <row r="16" spans="1:9" x14ac:dyDescent="0.25">
      <c r="A16" t="s">
        <v>778</v>
      </c>
      <c r="B16" t="s">
        <v>779</v>
      </c>
      <c r="C16" t="s">
        <v>763</v>
      </c>
      <c r="D16" s="8">
        <v>30</v>
      </c>
      <c r="E16" s="9">
        <v>107.66</v>
      </c>
      <c r="F16" s="8">
        <v>25</v>
      </c>
      <c r="G16" s="10"/>
      <c r="H16" s="9" t="str">
        <f>IF(G16="","",E16*G16)</f>
        <v/>
      </c>
      <c r="I16" s="11" t="str">
        <f>HYPERLINK("https://optomposuda.ru/product/gorshok-malyshok-310h240h210-cveta-v-assortimente","открыть")</f>
        <v>открыть</v>
      </c>
    </row>
    <row r="17" spans="1:9" x14ac:dyDescent="0.25">
      <c r="A17" t="s">
        <v>780</v>
      </c>
      <c r="B17" t="s">
        <v>781</v>
      </c>
      <c r="C17" t="s">
        <v>763</v>
      </c>
      <c r="D17" s="8">
        <v>40</v>
      </c>
      <c r="E17" s="9">
        <v>113.32</v>
      </c>
      <c r="F17" s="8">
        <v>41</v>
      </c>
      <c r="G17" s="10"/>
      <c r="H17" s="9" t="str">
        <f>IF(G17="","",E17*G17)</f>
        <v/>
      </c>
      <c r="I17" s="11" t="str">
        <f>HYPERLINK("https://optomposuda.ru/product/gorshok-detskiy-kroha-s-kryshkoy-i-dekorom-215h150","открыть")</f>
        <v>открыть</v>
      </c>
    </row>
    <row r="18" spans="1:9" x14ac:dyDescent="0.25">
      <c r="A18" t="s">
        <v>782</v>
      </c>
      <c r="B18" t="s">
        <v>783</v>
      </c>
      <c r="C18" t="s">
        <v>763</v>
      </c>
      <c r="D18" s="8">
        <v>40</v>
      </c>
      <c r="E18" s="9">
        <v>101.14</v>
      </c>
      <c r="F18" s="8">
        <v>15</v>
      </c>
      <c r="G18" s="10"/>
      <c r="H18" s="9" t="str">
        <f>IF(G18="","",E18*G18)</f>
        <v/>
      </c>
      <c r="I18" s="11" t="str">
        <f>HYPERLINK("https://optomposuda.ru/product/gorshok-detskiy-kroha-s-kryshkoy-cveta-v-assortimente-215h150","открыть")</f>
        <v>открыть</v>
      </c>
    </row>
    <row r="19" spans="1:9" x14ac:dyDescent="0.25">
      <c r="A19" t="s">
        <v>784</v>
      </c>
      <c r="B19" t="s">
        <v>785</v>
      </c>
      <c r="C19" t="s">
        <v>763</v>
      </c>
      <c r="D19" s="8">
        <v>10</v>
      </c>
      <c r="E19" s="9">
        <v>353.2</v>
      </c>
      <c r="F19" s="8">
        <v>20</v>
      </c>
      <c r="G19" s="10"/>
      <c r="H19" s="9" t="str">
        <f>IF(G19="","",E19*G19)</f>
        <v/>
      </c>
      <c r="I19" s="11" t="str">
        <f>HYPERLINK("https://optomposuda.ru/product/gorshok-detskiy-junior-365h335h310-cveta-v-assortimente","открыть")</f>
        <v>открыть</v>
      </c>
    </row>
    <row r="20" spans="1:9" x14ac:dyDescent="0.25">
      <c r="A20" t="s">
        <v>786</v>
      </c>
      <c r="B20" t="s">
        <v>787</v>
      </c>
      <c r="C20" t="s">
        <v>763</v>
      </c>
      <c r="D20" s="8">
        <v>10</v>
      </c>
      <c r="E20" s="9">
        <v>274.77</v>
      </c>
      <c r="F20" s="8">
        <v>20</v>
      </c>
      <c r="G20" s="10"/>
      <c r="H20" s="9" t="str">
        <f>IF(G20="","",E20*G20)</f>
        <v/>
      </c>
      <c r="I20" s="11" t="str">
        <f>HYPERLINK("https://optomposuda.ru/product/gorshok-stulchik-315h295h345-cveta-v-assortimente","открыть")</f>
        <v>открыть</v>
      </c>
    </row>
    <row r="21" spans="1:9" x14ac:dyDescent="0.25">
      <c r="A21" t="s">
        <v>788</v>
      </c>
      <c r="B21" t="s">
        <v>789</v>
      </c>
      <c r="C21" t="s">
        <v>763</v>
      </c>
      <c r="D21" s="8">
        <v>60</v>
      </c>
      <c r="E21" s="9">
        <v>69.72</v>
      </c>
      <c r="F21" s="8">
        <v>462</v>
      </c>
      <c r="G21" s="10"/>
      <c r="H21" s="9" t="str">
        <f>IF(G21="","",E21*G21)</f>
        <v/>
      </c>
      <c r="I21" s="11" t="str">
        <f>HYPERLINK("https://optomposuda.ru/product/ersh-klassik","открыть")</f>
        <v>открыть</v>
      </c>
    </row>
    <row r="22" spans="1:9" x14ac:dyDescent="0.25">
      <c r="A22" t="s">
        <v>790</v>
      </c>
      <c r="B22" t="s">
        <v>791</v>
      </c>
      <c r="C22" t="s">
        <v>763</v>
      </c>
      <c r="D22" s="8">
        <v>60</v>
      </c>
      <c r="E22" s="9">
        <v>64.43</v>
      </c>
      <c r="F22" s="8">
        <v>158</v>
      </c>
      <c r="G22" s="10"/>
      <c r="H22" s="9" t="str">
        <f>IF(G22="","",E22*G22)</f>
        <v/>
      </c>
      <c r="I22" s="11" t="str">
        <f>HYPERLINK("https://optomposuda.ru/product/ersh-stand","открыть")</f>
        <v>открыть</v>
      </c>
    </row>
    <row r="23" spans="1:9" x14ac:dyDescent="0.25">
      <c r="A23" t="s">
        <v>792</v>
      </c>
      <c r="B23" t="s">
        <v>793</v>
      </c>
      <c r="C23" t="s">
        <v>763</v>
      </c>
      <c r="D23" s="8">
        <v>20</v>
      </c>
      <c r="E23" s="9">
        <v>205.11</v>
      </c>
      <c r="F23" s="8">
        <v>204</v>
      </c>
      <c r="G23" s="10"/>
      <c r="H23" s="9" t="str">
        <f>IF(G23="","",E23*G23)</f>
        <v/>
      </c>
      <c r="I23" s="11" t="str">
        <f>HYPERLINK("https://optomposuda.ru/product/komplekt-dlya-tualeta-viola-ersh-s-podstavkoy","открыть")</f>
        <v>открыть</v>
      </c>
    </row>
    <row r="24" spans="1:9" x14ac:dyDescent="0.25">
      <c r="A24" t="s">
        <v>794</v>
      </c>
      <c r="B24" t="s">
        <v>795</v>
      </c>
      <c r="C24" t="s">
        <v>763</v>
      </c>
      <c r="D24" s="8">
        <v>30</v>
      </c>
      <c r="E24" s="9">
        <v>110.2</v>
      </c>
      <c r="F24" s="8">
        <v>465</v>
      </c>
      <c r="G24" s="10"/>
      <c r="H24" s="9" t="str">
        <f>IF(G24="","",E24*G24)</f>
        <v/>
      </c>
      <c r="I24" s="11" t="str">
        <f>HYPERLINK("https://optomposuda.ru/product/komplekt-dlya-tualeta-klassik-ersh-s-podstavkoy-130h380","открыть")</f>
        <v>открыть</v>
      </c>
    </row>
    <row r="25" spans="1:9" x14ac:dyDescent="0.25">
      <c r="A25" t="s">
        <v>796</v>
      </c>
      <c r="B25" t="s">
        <v>797</v>
      </c>
      <c r="C25" t="s">
        <v>763</v>
      </c>
      <c r="D25" s="8">
        <v>25</v>
      </c>
      <c r="E25" s="9">
        <v>130.01</v>
      </c>
      <c r="F25" s="8">
        <v>184</v>
      </c>
      <c r="G25" s="10"/>
      <c r="H25" s="9" t="str">
        <f>IF(G25="","",E25*G25)</f>
        <v/>
      </c>
      <c r="I25" s="11" t="str">
        <f>HYPERLINK("https://optomposuda.ru/product/komplekt-dlya-tualeta-korner-ersh-s-podstavkoy-uglovoy-150h380h370","открыть")</f>
        <v>открыть</v>
      </c>
    </row>
    <row r="26" spans="1:9" x14ac:dyDescent="0.25">
      <c r="A26" t="s">
        <v>798</v>
      </c>
      <c r="B26" t="s">
        <v>799</v>
      </c>
      <c r="C26" t="s">
        <v>763</v>
      </c>
      <c r="D26" s="8">
        <v>30</v>
      </c>
      <c r="E26" s="9">
        <v>123.11</v>
      </c>
      <c r="F26" s="8">
        <v>155</v>
      </c>
      <c r="G26" s="10"/>
      <c r="H26" s="9" t="str">
        <f>IF(G26="","",E26*G26)</f>
        <v/>
      </c>
      <c r="I26" s="11" t="str">
        <f>HYPERLINK("https://optomposuda.ru/product/komplekt-dlya-tualeta-lotos-ersh-s-podstavkoy-143x400","открыть")</f>
        <v>открыть</v>
      </c>
    </row>
    <row r="27" spans="1:9" x14ac:dyDescent="0.25">
      <c r="A27" t="s">
        <v>800</v>
      </c>
      <c r="B27" t="s">
        <v>801</v>
      </c>
      <c r="C27" t="s">
        <v>763</v>
      </c>
      <c r="D27" s="8">
        <v>30</v>
      </c>
      <c r="E27" s="9">
        <v>108.21</v>
      </c>
      <c r="F27" s="8">
        <v>244</v>
      </c>
      <c r="G27" s="10"/>
      <c r="H27" s="9" t="str">
        <f>IF(G27="","",E27*G27)</f>
        <v/>
      </c>
      <c r="I27" s="11" t="str">
        <f>HYPERLINK("https://optomposuda.ru/product/komplekt-dlya-tualeta-standart-ersh-s-podstavkoy-150h380","открыть")</f>
        <v>открыть</v>
      </c>
    </row>
    <row r="28" spans="1:9" x14ac:dyDescent="0.25">
      <c r="A28" t="s">
        <v>802</v>
      </c>
      <c r="B28" t="s">
        <v>803</v>
      </c>
      <c r="C28" t="s">
        <v>763</v>
      </c>
      <c r="D28" s="8">
        <v>30</v>
      </c>
      <c r="E28" s="9">
        <v>123.11</v>
      </c>
      <c r="F28" s="8">
        <v>260</v>
      </c>
      <c r="G28" s="10"/>
      <c r="H28" s="9" t="str">
        <f>IF(G28="","",E28*G28)</f>
        <v/>
      </c>
      <c r="I28" s="11" t="str">
        <f>HYPERLINK("https://optomposuda.ru/product/komplekt-dlya-tualeta-prestige","открыть")</f>
        <v>открыть</v>
      </c>
    </row>
    <row r="29" spans="1:9" x14ac:dyDescent="0.25">
      <c r="A29" t="s">
        <v>804</v>
      </c>
      <c r="B29" t="s">
        <v>805</v>
      </c>
      <c r="C29" t="s">
        <v>763</v>
      </c>
      <c r="D29" s="8">
        <v>144</v>
      </c>
      <c r="E29" s="9">
        <v>29.09</v>
      </c>
      <c r="F29" s="8">
        <v>139</v>
      </c>
      <c r="G29" s="10"/>
      <c r="H29" s="9" t="str">
        <f>IF(G29="","",E29*G29)</f>
        <v/>
      </c>
      <c r="I29" s="11" t="str">
        <f>HYPERLINK("https://optomposuda.ru/product/mylnica-layt-130-100-47","открыть")</f>
        <v>открыть</v>
      </c>
    </row>
    <row r="30" spans="1:9" x14ac:dyDescent="0.25">
      <c r="A30" t="s">
        <v>806</v>
      </c>
      <c r="B30" t="s">
        <v>807</v>
      </c>
      <c r="C30" t="s">
        <v>763</v>
      </c>
      <c r="D30" s="8">
        <v>60</v>
      </c>
      <c r="E30" s="9">
        <v>67.89</v>
      </c>
      <c r="F30" s="8">
        <v>81</v>
      </c>
      <c r="G30" s="10"/>
      <c r="H30" s="9" t="str">
        <f>IF(G30="","",E30*G30)</f>
        <v/>
      </c>
      <c r="I30" s="11" t="str">
        <f>HYPERLINK("https://optomposuda.ru/product/mylnica-nastennaya-na-prisoskah-orient","открыть")</f>
        <v>открыть</v>
      </c>
    </row>
    <row r="31" spans="1:9" x14ac:dyDescent="0.25">
      <c r="A31" t="s">
        <v>808</v>
      </c>
      <c r="B31" t="s">
        <v>809</v>
      </c>
      <c r="C31" t="s">
        <v>763</v>
      </c>
      <c r="D31" s="8">
        <v>60</v>
      </c>
      <c r="E31" s="9">
        <v>71.97</v>
      </c>
      <c r="F31" s="8">
        <v>249</v>
      </c>
      <c r="G31" s="10"/>
      <c r="H31" s="9" t="str">
        <f>IF(G31="","",E31*G31)</f>
        <v/>
      </c>
      <c r="I31" s="11" t="str">
        <f>HYPERLINK("https://optomposuda.ru/product/mylnica-s-poddonom-orient","открыть")</f>
        <v>открыть</v>
      </c>
    </row>
    <row r="32" spans="1:9" x14ac:dyDescent="0.25">
      <c r="A32" t="s">
        <v>810</v>
      </c>
      <c r="B32" t="s">
        <v>811</v>
      </c>
      <c r="C32" t="s">
        <v>763</v>
      </c>
      <c r="D32" s="8">
        <v>10</v>
      </c>
      <c r="E32" s="9">
        <v>138.96</v>
      </c>
      <c r="F32" s="8">
        <v>11</v>
      </c>
      <c r="G32" s="10"/>
      <c r="H32" s="9" t="str">
        <f>IF(G32="","",E32*G32)</f>
        <v/>
      </c>
      <c r="I32" s="11" t="str">
        <f>HYPERLINK("https://optomposuda.ru/product/nakladka-na-unitaz","открыть")</f>
        <v>открыть</v>
      </c>
    </row>
    <row r="33" spans="1:9" x14ac:dyDescent="0.25">
      <c r="A33" t="s">
        <v>812</v>
      </c>
      <c r="B33" t="s">
        <v>813</v>
      </c>
      <c r="C33" t="s">
        <v>763</v>
      </c>
      <c r="D33" s="8">
        <v>24</v>
      </c>
      <c r="E33" s="9">
        <v>163.8</v>
      </c>
      <c r="F33" s="8">
        <v>145</v>
      </c>
      <c r="G33" s="10"/>
      <c r="H33" s="9" t="str">
        <f>IF(G33="","",E33*G33)</f>
        <v/>
      </c>
      <c r="I33" s="11" t="str">
        <f>HYPERLINK("https://optomposuda.ru/product/organayzer-dlya-vannoy-komnaty-clear","открыть")</f>
        <v>открыть</v>
      </c>
    </row>
    <row r="34" spans="1:9" x14ac:dyDescent="0.25">
      <c r="A34" t="s">
        <v>814</v>
      </c>
      <c r="B34" t="s">
        <v>815</v>
      </c>
      <c r="C34" t="s">
        <v>763</v>
      </c>
      <c r="D34" s="8">
        <v>12</v>
      </c>
      <c r="E34" s="9">
        <v>321.17</v>
      </c>
      <c r="F34" s="8">
        <v>39</v>
      </c>
      <c r="G34" s="10"/>
      <c r="H34" s="9" t="str">
        <f>IF(G34="","",E34*G34)</f>
        <v/>
      </c>
      <c r="I34" s="11" t="str">
        <f>HYPERLINK("https://optomposuda.ru/product/podstavka-detskaya","открыть")</f>
        <v>открыть</v>
      </c>
    </row>
    <row r="35" spans="1:9" x14ac:dyDescent="0.25">
      <c r="A35" t="s">
        <v>816</v>
      </c>
      <c r="B35" t="s">
        <v>817</v>
      </c>
      <c r="C35" t="s">
        <v>763</v>
      </c>
      <c r="D35" s="8">
        <v>40</v>
      </c>
      <c r="E35" s="9">
        <v>98.9</v>
      </c>
      <c r="F35" s="8">
        <v>47</v>
      </c>
      <c r="G35" s="10"/>
      <c r="H35" s="9" t="str">
        <f>IF(G35="","",E35*G35)</f>
        <v/>
      </c>
      <c r="I35" s="11" t="str">
        <f>HYPERLINK("https://optomposuda.ru/product/podstavka-dlya-zubnyh-schetok-orient","открыть")</f>
        <v>открыть</v>
      </c>
    </row>
    <row r="36" spans="1:9" x14ac:dyDescent="0.25">
      <c r="A36" t="s">
        <v>818</v>
      </c>
      <c r="B36" t="s">
        <v>819</v>
      </c>
      <c r="C36" t="s">
        <v>763</v>
      </c>
      <c r="D36" s="8">
        <v>12</v>
      </c>
      <c r="E36" s="9">
        <v>457.68</v>
      </c>
      <c r="F36" s="8">
        <v>41</v>
      </c>
      <c r="G36" s="10"/>
      <c r="H36" s="9" t="str">
        <f>IF(G36="","",E36*G36)</f>
        <v/>
      </c>
      <c r="I36" s="11" t="str">
        <f>HYPERLINK("https://optomposuda.ru/product/polka-uglovaya-dlya-vannoy-komnaty","открыть")</f>
        <v>открыть</v>
      </c>
    </row>
    <row r="37" spans="1:9" x14ac:dyDescent="0.25">
      <c r="A37" s="7" t="s">
        <v>21</v>
      </c>
      <c r="B37" s="7"/>
      <c r="C37" s="7"/>
      <c r="D37" s="7"/>
      <c r="E37" s="7"/>
      <c r="F37" s="7"/>
      <c r="G37" s="7"/>
      <c r="H37" s="7"/>
      <c r="I37" s="7"/>
    </row>
    <row r="38" spans="1:9" x14ac:dyDescent="0.25">
      <c r="A38" t="s">
        <v>820</v>
      </c>
      <c r="B38" t="s">
        <v>821</v>
      </c>
      <c r="C38" t="s">
        <v>763</v>
      </c>
      <c r="D38" s="8">
        <v>72</v>
      </c>
      <c r="E38" s="9">
        <v>49.48</v>
      </c>
      <c r="F38" s="8">
        <v>266</v>
      </c>
      <c r="G38" s="10"/>
      <c r="H38" s="9" t="str">
        <f>IF(G38="","",E38*G38)</f>
        <v/>
      </c>
      <c r="I38" s="11" t="str">
        <f>HYPERLINK("https://optomposuda.ru/product/buterbrodnica-kruglaya-0-5-l","открыть")</f>
        <v>открыть</v>
      </c>
    </row>
    <row r="39" spans="1:9" x14ac:dyDescent="0.25">
      <c r="A39" t="s">
        <v>822</v>
      </c>
      <c r="B39" t="s">
        <v>823</v>
      </c>
      <c r="C39" t="s">
        <v>763</v>
      </c>
      <c r="D39" s="8">
        <v>42</v>
      </c>
      <c r="E39" s="9">
        <v>58.18</v>
      </c>
      <c r="F39" s="8">
        <v>199</v>
      </c>
      <c r="G39" s="10"/>
      <c r="H39" s="9" t="str">
        <f>IF(G39="","",E39*G39)</f>
        <v/>
      </c>
      <c r="I39" s="11" t="str">
        <f>HYPERLINK("https://optomposuda.ru/product/buterbrodnica-kruglaya-1-0-l","открыть")</f>
        <v>открыть</v>
      </c>
    </row>
    <row r="40" spans="1:9" x14ac:dyDescent="0.25">
      <c r="A40" t="s">
        <v>824</v>
      </c>
      <c r="B40" t="s">
        <v>825</v>
      </c>
      <c r="C40" t="s">
        <v>763</v>
      </c>
      <c r="D40" s="8">
        <v>42</v>
      </c>
      <c r="E40" s="9">
        <v>94.31</v>
      </c>
      <c r="F40" s="8">
        <v>66</v>
      </c>
      <c r="G40" s="10"/>
      <c r="H40" s="9" t="str">
        <f>IF(G40="","",E40*G40)</f>
        <v/>
      </c>
      <c r="I40" s="11" t="str">
        <f>HYPERLINK("https://optomposuda.ru/product/buterbrodnica-kruglaya-1-7-l","открыть")</f>
        <v>открыть</v>
      </c>
    </row>
    <row r="41" spans="1:9" x14ac:dyDescent="0.25">
      <c r="A41" t="s">
        <v>826</v>
      </c>
      <c r="B41" t="s">
        <v>827</v>
      </c>
      <c r="C41" t="s">
        <v>763</v>
      </c>
      <c r="D41" s="8">
        <v>72</v>
      </c>
      <c r="E41" s="9">
        <v>45.92</v>
      </c>
      <c r="F41" s="8">
        <v>129</v>
      </c>
      <c r="G41" s="10"/>
      <c r="H41" s="9" t="str">
        <f>IF(G41="","",E41*G41)</f>
        <v/>
      </c>
      <c r="I41" s="11" t="str">
        <f>HYPERLINK("https://optomposuda.ru/product/buterbrodnica-pryamougolnaya-0-5-l","открыть")</f>
        <v>открыть</v>
      </c>
    </row>
    <row r="42" spans="1:9" x14ac:dyDescent="0.25">
      <c r="A42" t="s">
        <v>828</v>
      </c>
      <c r="B42" t="s">
        <v>829</v>
      </c>
      <c r="C42" t="s">
        <v>763</v>
      </c>
      <c r="D42" s="8">
        <v>48</v>
      </c>
      <c r="E42" s="9">
        <v>82.62</v>
      </c>
      <c r="F42" s="8">
        <v>282</v>
      </c>
      <c r="G42" s="10"/>
      <c r="H42" s="9" t="str">
        <f>IF(G42="","",E42*G42)</f>
        <v/>
      </c>
      <c r="I42" s="11" t="str">
        <f>HYPERLINK("https://optomposuda.ru/product/buterbrodnica-pryamougolnaya-1-l","открыть")</f>
        <v>открыть</v>
      </c>
    </row>
    <row r="43" spans="1:9" x14ac:dyDescent="0.25">
      <c r="A43" t="s">
        <v>830</v>
      </c>
      <c r="B43" t="s">
        <v>831</v>
      </c>
      <c r="C43" t="s">
        <v>763</v>
      </c>
      <c r="D43" s="8">
        <v>48</v>
      </c>
      <c r="E43" s="9">
        <v>127.99</v>
      </c>
      <c r="F43" s="8">
        <v>306</v>
      </c>
      <c r="G43" s="10"/>
      <c r="H43" s="9" t="str">
        <f>IF(G43="","",E43*G43)</f>
        <v/>
      </c>
      <c r="I43" s="11" t="str">
        <f>HYPERLINK("https://optomposuda.ru/product/buterbrodnica-pryamougolnaya-1-7-l","открыть")</f>
        <v>открыть</v>
      </c>
    </row>
    <row r="44" spans="1:9" x14ac:dyDescent="0.25">
      <c r="A44" t="s">
        <v>832</v>
      </c>
      <c r="B44" t="s">
        <v>833</v>
      </c>
      <c r="C44" t="s">
        <v>763</v>
      </c>
      <c r="D44" s="8">
        <v>96</v>
      </c>
      <c r="E44" s="9">
        <v>22.49</v>
      </c>
      <c r="F44" s="8">
        <v>384</v>
      </c>
      <c r="G44" s="10"/>
      <c r="H44" s="9" t="str">
        <f>IF(G44="","",E44*G44)</f>
        <v/>
      </c>
      <c r="I44" s="11" t="str">
        <f>HYPERLINK("https://optomposuda.ru/product/voronka-bolshaya-136x136x155-mm","открыть")</f>
        <v>открыть</v>
      </c>
    </row>
    <row r="45" spans="1:9" x14ac:dyDescent="0.25">
      <c r="A45" t="s">
        <v>834</v>
      </c>
      <c r="B45" t="s">
        <v>835</v>
      </c>
      <c r="C45" t="s">
        <v>763</v>
      </c>
      <c r="D45" s="8">
        <v>216</v>
      </c>
      <c r="E45" s="9">
        <v>14.63</v>
      </c>
      <c r="F45" s="8">
        <v>171</v>
      </c>
      <c r="G45" s="10"/>
      <c r="H45" s="9" t="str">
        <f>IF(G45="","",E45*G45)</f>
        <v/>
      </c>
      <c r="I45" s="11" t="str">
        <f>HYPERLINK("https://optomposuda.ru/product/voronka-malaya-100x100x115-mm","открыть")</f>
        <v>открыть</v>
      </c>
    </row>
    <row r="46" spans="1:9" x14ac:dyDescent="0.25">
      <c r="A46" t="s">
        <v>836</v>
      </c>
      <c r="B46" t="s">
        <v>837</v>
      </c>
      <c r="C46" t="s">
        <v>763</v>
      </c>
      <c r="D46" s="8">
        <v>40</v>
      </c>
      <c r="E46" s="9">
        <v>102.39</v>
      </c>
      <c r="F46" s="8">
        <v>282</v>
      </c>
      <c r="G46" s="10"/>
      <c r="H46" s="9" t="str">
        <f>IF(G46="","",E46*G46)</f>
        <v/>
      </c>
      <c r="I46" s="11" t="str">
        <f>HYPERLINK("https://optomposuda.ru/product/doska-razdelochnaya-flexy-bolshaya-345-245-3-cveta-v-assortimente","открыть")</f>
        <v>открыть</v>
      </c>
    </row>
    <row r="47" spans="1:9" x14ac:dyDescent="0.25">
      <c r="A47" t="s">
        <v>838</v>
      </c>
      <c r="B47" t="s">
        <v>839</v>
      </c>
      <c r="C47" t="s">
        <v>763</v>
      </c>
      <c r="D47" s="8">
        <v>20</v>
      </c>
      <c r="E47" s="9">
        <v>160.91</v>
      </c>
      <c r="F47" s="8">
        <v>415</v>
      </c>
      <c r="G47" s="10"/>
      <c r="H47" s="9" t="str">
        <f>IF(G47="","",E47*G47)</f>
        <v/>
      </c>
      <c r="I47" s="11" t="str">
        <f>HYPERLINK("https://optomposuda.ru/product/doska-razdelochnaya-lime-345x240x8","открыть")</f>
        <v>открыть</v>
      </c>
    </row>
    <row r="48" spans="1:9" x14ac:dyDescent="0.25">
      <c r="A48" t="s">
        <v>840</v>
      </c>
      <c r="B48" t="s">
        <v>841</v>
      </c>
      <c r="C48" t="s">
        <v>763</v>
      </c>
      <c r="D48" s="8">
        <v>15</v>
      </c>
      <c r="E48" s="9">
        <v>214.17</v>
      </c>
      <c r="F48" s="8">
        <v>83</v>
      </c>
      <c r="G48" s="10"/>
      <c r="H48" s="9" t="str">
        <f>IF(G48="","",E48*G48)</f>
        <v/>
      </c>
      <c r="I48" s="11" t="str">
        <f>HYPERLINK("https://optomposuda.ru/product/doska-razdelochnaya-premium-plastik-bolshaya-403-210-7","открыть")</f>
        <v>открыть</v>
      </c>
    </row>
    <row r="49" spans="1:9" x14ac:dyDescent="0.25">
      <c r="A49" t="s">
        <v>842</v>
      </c>
      <c r="B49" t="s">
        <v>843</v>
      </c>
      <c r="C49" t="s">
        <v>763</v>
      </c>
      <c r="D49" s="8">
        <v>40</v>
      </c>
      <c r="E49" s="9">
        <v>203.54</v>
      </c>
      <c r="F49" s="8">
        <v>333</v>
      </c>
      <c r="G49" s="10"/>
      <c r="H49" s="9" t="str">
        <f>IF(G49="","",E49*G49)</f>
        <v/>
      </c>
      <c r="I49" s="11" t="str">
        <f>HYPERLINK("https://optomposuda.ru/product/doska-razdelochnaya-slim-bolshaya-345h6h244","открыть")</f>
        <v>открыть</v>
      </c>
    </row>
    <row r="50" spans="1:9" x14ac:dyDescent="0.25">
      <c r="A50" t="s">
        <v>844</v>
      </c>
      <c r="B50" t="s">
        <v>845</v>
      </c>
      <c r="C50" t="s">
        <v>763</v>
      </c>
      <c r="D50" s="8">
        <v>76</v>
      </c>
      <c r="E50" s="9">
        <v>88.6</v>
      </c>
      <c r="F50" s="8">
        <v>373</v>
      </c>
      <c r="G50" s="10"/>
      <c r="H50" s="9" t="str">
        <f>IF(G50="","",E50*G50)</f>
        <v/>
      </c>
      <c r="I50" s="11" t="str">
        <f>HYPERLINK("https://optomposuda.ru/product/doska-razdelochnaya-slim-malaya-285h4h187","открыть")</f>
        <v>открыть</v>
      </c>
    </row>
    <row r="51" spans="1:9" x14ac:dyDescent="0.25">
      <c r="A51" t="s">
        <v>846</v>
      </c>
      <c r="B51" t="s">
        <v>847</v>
      </c>
      <c r="C51" t="s">
        <v>763</v>
      </c>
      <c r="D51" s="8">
        <v>20</v>
      </c>
      <c r="E51" s="9">
        <v>190.37</v>
      </c>
      <c r="F51" s="8">
        <v>151</v>
      </c>
      <c r="G51" s="10"/>
      <c r="H51" s="9" t="str">
        <f>IF(G51="","",E51*G51)</f>
        <v/>
      </c>
      <c r="I51" s="11" t="str">
        <f>HYPERLINK("https://optomposuda.ru/product/doska-razdelochnaya-tomato-315x305x8","открыть")</f>
        <v>открыть</v>
      </c>
    </row>
    <row r="52" spans="1:9" x14ac:dyDescent="0.25">
      <c r="A52" t="s">
        <v>848</v>
      </c>
      <c r="B52" t="s">
        <v>849</v>
      </c>
      <c r="C52" t="s">
        <v>763</v>
      </c>
      <c r="D52" s="8">
        <v>24</v>
      </c>
      <c r="E52" s="9">
        <v>124.09</v>
      </c>
      <c r="F52" s="8">
        <v>96</v>
      </c>
      <c r="G52" s="10"/>
      <c r="H52" s="9" t="str">
        <f>IF(G52="","",E52*G52)</f>
        <v/>
      </c>
      <c r="I52" s="11" t="str">
        <f>HYPERLINK("https://optomposuda.ru/product/durshlag-slim-ploskiy-270h345h41","открыть")</f>
        <v>открыть</v>
      </c>
    </row>
    <row r="53" spans="1:9" x14ac:dyDescent="0.25">
      <c r="A53" t="s">
        <v>850</v>
      </c>
      <c r="B53" t="s">
        <v>851</v>
      </c>
      <c r="C53" t="s">
        <v>763</v>
      </c>
      <c r="D53" s="8">
        <v>30</v>
      </c>
      <c r="E53" s="9">
        <v>107.95</v>
      </c>
      <c r="F53" s="8">
        <v>178</v>
      </c>
      <c r="G53" s="10"/>
      <c r="H53" s="9" t="str">
        <f>IF(G53="","",E53*G53)</f>
        <v/>
      </c>
      <c r="I53" s="11" t="str">
        <f>HYPERLINK("https://optomposuda.ru/product/durshlag-355h110","открыть")</f>
        <v>открыть</v>
      </c>
    </row>
    <row r="54" spans="1:9" x14ac:dyDescent="0.25">
      <c r="A54" t="s">
        <v>852</v>
      </c>
      <c r="B54" t="s">
        <v>853</v>
      </c>
      <c r="C54" t="s">
        <v>763</v>
      </c>
      <c r="D54" s="8">
        <v>15</v>
      </c>
      <c r="E54" s="9">
        <v>101.21</v>
      </c>
      <c r="F54" s="8">
        <v>36</v>
      </c>
      <c r="G54" s="10"/>
      <c r="H54" s="9" t="str">
        <f>IF(G54="","",E54*G54)</f>
        <v/>
      </c>
      <c r="I54" s="11" t="str">
        <f>HYPERLINK("https://optomposuda.ru/product/durshlag-dlya-risa-282h223h156","открыть")</f>
        <v>открыть</v>
      </c>
    </row>
    <row r="55" spans="1:9" x14ac:dyDescent="0.25">
      <c r="A55" t="s">
        <v>854</v>
      </c>
      <c r="B55" t="s">
        <v>855</v>
      </c>
      <c r="C55" t="s">
        <v>763</v>
      </c>
      <c r="D55" s="8">
        <v>15</v>
      </c>
      <c r="E55" s="9">
        <v>78.23</v>
      </c>
      <c r="F55" s="8">
        <v>311</v>
      </c>
      <c r="G55" s="10"/>
      <c r="H55" s="9" t="str">
        <f>IF(G55="","",E55*G55)</f>
        <v/>
      </c>
      <c r="I55" s="11" t="str">
        <f>HYPERLINK("https://optomposuda.ru/product/durshlag-dlya-risa-malyy","открыть")</f>
        <v>открыть</v>
      </c>
    </row>
    <row r="56" spans="1:9" x14ac:dyDescent="0.25">
      <c r="A56" t="s">
        <v>856</v>
      </c>
      <c r="B56" t="s">
        <v>857</v>
      </c>
      <c r="C56" t="s">
        <v>763</v>
      </c>
      <c r="D56" s="8">
        <v>12</v>
      </c>
      <c r="E56" s="9">
        <v>70.85</v>
      </c>
      <c r="F56" s="8">
        <v>314</v>
      </c>
      <c r="G56" s="10"/>
      <c r="H56" s="9" t="str">
        <f>IF(G56="","",E56*G56)</f>
        <v/>
      </c>
      <c r="I56" s="11" t="str">
        <f>HYPERLINK("https://optomposuda.ru/product/emkost-practic-kvadratnaya-1-6-l","открыть")</f>
        <v>открыть</v>
      </c>
    </row>
    <row r="57" spans="1:9" x14ac:dyDescent="0.25">
      <c r="A57" t="s">
        <v>858</v>
      </c>
      <c r="B57" t="s">
        <v>859</v>
      </c>
      <c r="C57" t="s">
        <v>763</v>
      </c>
      <c r="D57" s="8">
        <v>12</v>
      </c>
      <c r="E57" s="9">
        <v>74.22</v>
      </c>
      <c r="F57" s="8">
        <v>410</v>
      </c>
      <c r="G57" s="10"/>
      <c r="H57" s="9" t="str">
        <f>IF(G57="","",E57*G57)</f>
        <v/>
      </c>
      <c r="I57" s="11" t="str">
        <f>HYPERLINK("https://optomposuda.ru/product/emkost-practic-kvadratnaya-2-4-l","открыть")</f>
        <v>открыть</v>
      </c>
    </row>
    <row r="58" spans="1:9" x14ac:dyDescent="0.25">
      <c r="A58" t="s">
        <v>860</v>
      </c>
      <c r="B58" t="s">
        <v>861</v>
      </c>
      <c r="C58" t="s">
        <v>763</v>
      </c>
      <c r="D58" s="8">
        <v>12</v>
      </c>
      <c r="E58" s="9">
        <v>58.18</v>
      </c>
      <c r="F58" s="8">
        <v>319</v>
      </c>
      <c r="G58" s="10"/>
      <c r="H58" s="9" t="str">
        <f>IF(G58="","",E58*G58)</f>
        <v/>
      </c>
      <c r="I58" s="11" t="str">
        <f>HYPERLINK("https://optomposuda.ru/product/emkost-practic-universalnaya-1-0-l","открыть")</f>
        <v>открыть</v>
      </c>
    </row>
    <row r="59" spans="1:9" x14ac:dyDescent="0.25">
      <c r="A59" t="s">
        <v>862</v>
      </c>
      <c r="B59" t="s">
        <v>863</v>
      </c>
      <c r="C59" t="s">
        <v>763</v>
      </c>
      <c r="D59" s="8">
        <v>12</v>
      </c>
      <c r="E59" s="9">
        <v>62.13</v>
      </c>
      <c r="F59" s="8">
        <v>253</v>
      </c>
      <c r="G59" s="10"/>
      <c r="H59" s="9" t="str">
        <f>IF(G59="","",E59*G59)</f>
        <v/>
      </c>
      <c r="I59" s="11" t="str">
        <f>HYPERLINK("https://optomposuda.ru/product/emkost-practic-universalnaya-1-5-l","открыть")</f>
        <v>открыть</v>
      </c>
    </row>
    <row r="60" spans="1:9" x14ac:dyDescent="0.25">
      <c r="A60" t="s">
        <v>864</v>
      </c>
      <c r="B60" t="s">
        <v>865</v>
      </c>
      <c r="C60" t="s">
        <v>763</v>
      </c>
      <c r="D60" s="8">
        <v>5</v>
      </c>
      <c r="E60" s="9">
        <v>110.54</v>
      </c>
      <c r="F60" s="8">
        <v>191</v>
      </c>
      <c r="G60" s="10"/>
      <c r="H60" s="9" t="str">
        <f>IF(G60="","",E60*G60)</f>
        <v/>
      </c>
      <c r="I60" s="11" t="str">
        <f>HYPERLINK("https://optomposuda.ru/product/emkost-practic-universalnaya-10-0-l","открыть")</f>
        <v>открыть</v>
      </c>
    </row>
    <row r="61" spans="1:9" x14ac:dyDescent="0.25">
      <c r="A61" t="s">
        <v>866</v>
      </c>
      <c r="B61" t="s">
        <v>867</v>
      </c>
      <c r="C61" t="s">
        <v>763</v>
      </c>
      <c r="D61" s="8">
        <v>12</v>
      </c>
      <c r="E61" s="9">
        <v>65.59</v>
      </c>
      <c r="F61" s="8">
        <v>311</v>
      </c>
      <c r="G61" s="10"/>
      <c r="H61" s="9" t="str">
        <f>IF(G61="","",E61*G61)</f>
        <v/>
      </c>
      <c r="I61" s="11" t="str">
        <f>HYPERLINK("https://optomposuda.ru/product/emkost-practic-universalnaya-2-l","открыть")</f>
        <v>открыть</v>
      </c>
    </row>
    <row r="62" spans="1:9" x14ac:dyDescent="0.25">
      <c r="A62" t="s">
        <v>868</v>
      </c>
      <c r="B62" t="s">
        <v>869</v>
      </c>
      <c r="C62" t="s">
        <v>763</v>
      </c>
      <c r="D62" s="8">
        <v>8</v>
      </c>
      <c r="E62" s="9">
        <v>69.03</v>
      </c>
      <c r="F62" s="8">
        <v>152</v>
      </c>
      <c r="G62" s="10"/>
      <c r="H62" s="9" t="str">
        <f>IF(G62="","",E62*G62)</f>
        <v/>
      </c>
      <c r="I62" s="11" t="str">
        <f>HYPERLINK("https://optomposuda.ru/product/emkost-practic-universalnaya-3-0-l","открыть")</f>
        <v>открыть</v>
      </c>
    </row>
    <row r="63" spans="1:9" x14ac:dyDescent="0.25">
      <c r="A63" t="s">
        <v>870</v>
      </c>
      <c r="B63" t="s">
        <v>871</v>
      </c>
      <c r="C63" t="s">
        <v>763</v>
      </c>
      <c r="D63" s="8">
        <v>6</v>
      </c>
      <c r="E63" s="9">
        <v>83.85</v>
      </c>
      <c r="F63" s="8">
        <v>21</v>
      </c>
      <c r="G63" s="10"/>
      <c r="H63" s="9" t="str">
        <f>IF(G63="","",E63*G63)</f>
        <v/>
      </c>
      <c r="I63" s="11" t="str">
        <f>HYPERLINK("https://optomposuda.ru/product/emkost-practic-universalnaya-5-0-l","открыть")</f>
        <v>открыть</v>
      </c>
    </row>
    <row r="64" spans="1:9" x14ac:dyDescent="0.25">
      <c r="A64" t="s">
        <v>872</v>
      </c>
      <c r="B64" t="s">
        <v>873</v>
      </c>
      <c r="C64" t="s">
        <v>763</v>
      </c>
      <c r="D64" s="8">
        <v>32</v>
      </c>
      <c r="E64" s="9">
        <v>125.33</v>
      </c>
      <c r="F64" s="8">
        <v>193</v>
      </c>
      <c r="G64" s="10"/>
      <c r="H64" s="9" t="str">
        <f>IF(G64="","",E64*G64)</f>
        <v/>
      </c>
      <c r="I64" s="11" t="str">
        <f>HYPERLINK("https://optomposuda.ru/product/emkost-dlya-mikrovolnovoy-pechi-3-0-l-s-risunkom-260h108h109","открыть")</f>
        <v>открыть</v>
      </c>
    </row>
    <row r="65" spans="1:9" x14ac:dyDescent="0.25">
      <c r="A65" t="s">
        <v>874</v>
      </c>
      <c r="B65" t="s">
        <v>875</v>
      </c>
      <c r="C65" t="s">
        <v>763</v>
      </c>
      <c r="D65" s="8">
        <v>18</v>
      </c>
      <c r="E65" s="9">
        <v>142.66</v>
      </c>
      <c r="F65" s="8">
        <v>397</v>
      </c>
      <c r="G65" s="10"/>
      <c r="H65" s="9" t="str">
        <f>IF(G65="","",E65*G65)</f>
        <v/>
      </c>
      <c r="I65" s="11" t="str">
        <f>HYPERLINK("https://optomposuda.ru/product/emkost-dlya-miksera-blendera-2-2-l","открыть")</f>
        <v>открыть</v>
      </c>
    </row>
    <row r="66" spans="1:9" x14ac:dyDescent="0.25">
      <c r="A66" t="s">
        <v>876</v>
      </c>
      <c r="B66" t="s">
        <v>877</v>
      </c>
      <c r="C66" t="s">
        <v>763</v>
      </c>
      <c r="D66" s="8">
        <v>20</v>
      </c>
      <c r="E66" s="9">
        <v>36.82</v>
      </c>
      <c r="F66" s="8">
        <v>44</v>
      </c>
      <c r="G66" s="10"/>
      <c r="H66" s="9" t="str">
        <f>IF(G66="","",E66*G66)</f>
        <v/>
      </c>
      <c r="I66" s="11" t="str">
        <f>HYPERLINK("https://optomposuda.ru/product/emkost-universalnaya-crystal-0-5l","открыть")</f>
        <v>открыть</v>
      </c>
    </row>
    <row r="67" spans="1:9" x14ac:dyDescent="0.25">
      <c r="A67" t="s">
        <v>878</v>
      </c>
      <c r="B67" t="s">
        <v>879</v>
      </c>
      <c r="C67" t="s">
        <v>763</v>
      </c>
      <c r="D67" s="8">
        <v>20</v>
      </c>
      <c r="E67" s="9">
        <v>46.02</v>
      </c>
      <c r="F67" s="8">
        <v>65</v>
      </c>
      <c r="G67" s="10"/>
      <c r="H67" s="9" t="str">
        <f>IF(G67="","",E67*G67)</f>
        <v/>
      </c>
      <c r="I67" s="11" t="str">
        <f>HYPERLINK("https://optomposuda.ru/product/emkost-universalnaya-crystal-1l","открыть")</f>
        <v>открыть</v>
      </c>
    </row>
    <row r="68" spans="1:9" x14ac:dyDescent="0.25">
      <c r="A68" t="s">
        <v>880</v>
      </c>
      <c r="B68" t="s">
        <v>881</v>
      </c>
      <c r="C68" t="s">
        <v>763</v>
      </c>
      <c r="D68" s="8">
        <v>12</v>
      </c>
      <c r="E68" s="9">
        <v>461.61</v>
      </c>
      <c r="F68" s="8">
        <v>305</v>
      </c>
      <c r="G68" s="10"/>
      <c r="H68" s="9" t="str">
        <f>IF(G68="","",E68*G68)</f>
        <v/>
      </c>
      <c r="I68" s="11" t="str">
        <f>HYPERLINK("https://optomposuda.ru/product/konteyner-hranitel-svezhesti-22-l-440x315x215","открыть")</f>
        <v>открыть</v>
      </c>
    </row>
    <row r="69" spans="1:9" x14ac:dyDescent="0.25">
      <c r="A69" t="s">
        <v>882</v>
      </c>
      <c r="B69" t="s">
        <v>883</v>
      </c>
      <c r="C69" t="s">
        <v>763</v>
      </c>
      <c r="D69" s="8">
        <v>45</v>
      </c>
      <c r="E69" s="9">
        <v>61.87</v>
      </c>
      <c r="F69" s="8">
        <v>43</v>
      </c>
      <c r="G69" s="10"/>
      <c r="H69" s="9" t="str">
        <f>IF(G69="","",E69*G69)</f>
        <v/>
      </c>
      <c r="I69" s="11" t="str">
        <f>HYPERLINK("https://optomposuda.ru/product/konteyner-alaska-0-65-l","открыть")</f>
        <v>открыть</v>
      </c>
    </row>
    <row r="70" spans="1:9" x14ac:dyDescent="0.25">
      <c r="A70" t="s">
        <v>884</v>
      </c>
      <c r="B70" t="s">
        <v>885</v>
      </c>
      <c r="C70" t="s">
        <v>763</v>
      </c>
      <c r="D70" s="8">
        <v>36</v>
      </c>
      <c r="E70" s="9">
        <v>68.26</v>
      </c>
      <c r="F70" s="8">
        <v>68</v>
      </c>
      <c r="G70" s="10"/>
      <c r="H70" s="9" t="str">
        <f>IF(G70="","",E70*G70)</f>
        <v/>
      </c>
      <c r="I70" s="11" t="str">
        <f>HYPERLINK("https://optomposuda.ru/product/konteyner-alaska-1-1-l","открыть")</f>
        <v>открыть</v>
      </c>
    </row>
    <row r="71" spans="1:9" x14ac:dyDescent="0.25">
      <c r="A71" t="s">
        <v>886</v>
      </c>
      <c r="B71" t="s">
        <v>887</v>
      </c>
      <c r="C71" t="s">
        <v>763</v>
      </c>
      <c r="D71" s="8">
        <v>36</v>
      </c>
      <c r="E71" s="9">
        <v>78.18</v>
      </c>
      <c r="F71" s="8">
        <v>91</v>
      </c>
      <c r="G71" s="10"/>
      <c r="H71" s="9" t="str">
        <f>IF(G71="","",E71*G71)</f>
        <v/>
      </c>
      <c r="I71" s="11" t="str">
        <f>HYPERLINK("https://optomposuda.ru/product/konteyner-alaska-1-75-l","открыть")</f>
        <v>открыть</v>
      </c>
    </row>
    <row r="72" spans="1:9" x14ac:dyDescent="0.25">
      <c r="A72" t="s">
        <v>888</v>
      </c>
      <c r="B72" t="s">
        <v>889</v>
      </c>
      <c r="C72" t="s">
        <v>763</v>
      </c>
      <c r="D72" s="8">
        <v>48</v>
      </c>
      <c r="E72" s="9">
        <v>65.91</v>
      </c>
      <c r="F72" s="8">
        <v>29</v>
      </c>
      <c r="G72" s="10"/>
      <c r="H72" s="9" t="str">
        <f>IF(G72="","",E72*G72)</f>
        <v/>
      </c>
      <c r="I72" s="11" t="str">
        <f>HYPERLINK("https://optomposuda.ru/product/konteyner-candy-1-kruglyy-120-67","открыть")</f>
        <v>открыть</v>
      </c>
    </row>
    <row r="73" spans="1:9" x14ac:dyDescent="0.25">
      <c r="A73" t="s">
        <v>890</v>
      </c>
      <c r="B73" t="s">
        <v>891</v>
      </c>
      <c r="C73" t="s">
        <v>763</v>
      </c>
      <c r="D73" s="8">
        <v>36</v>
      </c>
      <c r="E73" s="9">
        <v>65.45</v>
      </c>
      <c r="F73" s="8">
        <v>89</v>
      </c>
      <c r="G73" s="10"/>
      <c r="H73" s="9" t="str">
        <f>IF(G73="","",E73*G73)</f>
        <v/>
      </c>
      <c r="I73" s="11" t="str">
        <f>HYPERLINK("https://optomposuda.ru/product/konteyner-candy-2-kruglyy-120-130","открыть")</f>
        <v>открыть</v>
      </c>
    </row>
    <row r="74" spans="1:9" x14ac:dyDescent="0.25">
      <c r="A74" t="s">
        <v>892</v>
      </c>
      <c r="B74" t="s">
        <v>893</v>
      </c>
      <c r="C74" t="s">
        <v>763</v>
      </c>
      <c r="D74" s="8">
        <v>24</v>
      </c>
      <c r="E74" s="9">
        <v>96.79</v>
      </c>
      <c r="F74" s="8">
        <v>68</v>
      </c>
      <c r="G74" s="10"/>
      <c r="H74" s="9" t="str">
        <f>IF(G74="","",E74*G74)</f>
        <v/>
      </c>
      <c r="I74" s="11" t="str">
        <f>HYPERLINK("https://optomposuda.ru/product/konteyner-candy-3-kruglyy-120-185","открыть")</f>
        <v>открыть</v>
      </c>
    </row>
    <row r="75" spans="1:9" x14ac:dyDescent="0.25">
      <c r="A75" t="s">
        <v>894</v>
      </c>
      <c r="B75" t="s">
        <v>895</v>
      </c>
      <c r="C75" t="s">
        <v>763</v>
      </c>
      <c r="D75" s="8">
        <v>36</v>
      </c>
      <c r="E75" s="9">
        <v>89.53</v>
      </c>
      <c r="F75" s="8">
        <v>190</v>
      </c>
      <c r="G75" s="10"/>
      <c r="H75" s="9" t="str">
        <f>IF(G75="","",E75*G75)</f>
        <v/>
      </c>
      <c r="I75" s="11" t="str">
        <f>HYPERLINK("https://optomposuda.ru/product/konteyner-click-lock-0-5-l-170x125x60","открыть")</f>
        <v>открыть</v>
      </c>
    </row>
    <row r="76" spans="1:9" x14ac:dyDescent="0.25">
      <c r="A76" t="s">
        <v>896</v>
      </c>
      <c r="B76" t="s">
        <v>897</v>
      </c>
      <c r="C76" t="s">
        <v>763</v>
      </c>
      <c r="D76" s="8">
        <v>36</v>
      </c>
      <c r="E76" s="9">
        <v>129.89</v>
      </c>
      <c r="F76" s="8">
        <v>97</v>
      </c>
      <c r="G76" s="10"/>
      <c r="H76" s="9" t="str">
        <f>IF(G76="","",E76*G76)</f>
        <v/>
      </c>
      <c r="I76" s="11" t="str">
        <f>HYPERLINK("https://optomposuda.ru/product/konteyner-click-lock-0-7-l-170x125x87","открыть")</f>
        <v>открыть</v>
      </c>
    </row>
    <row r="77" spans="1:9" x14ac:dyDescent="0.25">
      <c r="A77" t="s">
        <v>898</v>
      </c>
      <c r="B77" t="s">
        <v>899</v>
      </c>
      <c r="C77" t="s">
        <v>763</v>
      </c>
      <c r="D77" s="8">
        <v>24</v>
      </c>
      <c r="E77" s="9">
        <v>144.05</v>
      </c>
      <c r="F77" s="8">
        <v>132</v>
      </c>
      <c r="G77" s="10"/>
      <c r="H77" s="9" t="str">
        <f>IF(G77="","",E77*G77)</f>
        <v/>
      </c>
      <c r="I77" s="11" t="str">
        <f>HYPERLINK("https://optomposuda.ru/product/konteyner-click-lock-1-l-170x125x118","открыть")</f>
        <v>открыть</v>
      </c>
    </row>
    <row r="78" spans="1:9" x14ac:dyDescent="0.25">
      <c r="A78" t="s">
        <v>900</v>
      </c>
      <c r="B78" t="s">
        <v>901</v>
      </c>
      <c r="C78" t="s">
        <v>763</v>
      </c>
      <c r="D78" s="8">
        <v>24</v>
      </c>
      <c r="E78" s="9">
        <v>138.24</v>
      </c>
      <c r="F78" s="8">
        <v>135</v>
      </c>
      <c r="G78" s="10"/>
      <c r="H78" s="9" t="str">
        <f>IF(G78="","",E78*G78)</f>
        <v/>
      </c>
      <c r="I78" s="11" t="str">
        <f>HYPERLINK("https://optomposuda.ru/product/konteyner-click-lock-1-5-l-245x165x70","открыть")</f>
        <v>открыть</v>
      </c>
    </row>
    <row r="79" spans="1:9" x14ac:dyDescent="0.25">
      <c r="A79" t="s">
        <v>902</v>
      </c>
      <c r="B79" t="s">
        <v>903</v>
      </c>
      <c r="C79" t="s">
        <v>763</v>
      </c>
      <c r="D79" s="8">
        <v>12</v>
      </c>
      <c r="E79" s="9">
        <v>151.84</v>
      </c>
      <c r="F79" s="8">
        <v>100</v>
      </c>
      <c r="G79" s="10"/>
      <c r="H79" s="9" t="str">
        <f>IF(G79="","",E79*G79)</f>
        <v/>
      </c>
      <c r="I79" s="11" t="str">
        <f>HYPERLINK("https://optomposuda.ru/product/konteyner-click-lock-2-l-245x165x92","открыть")</f>
        <v>открыть</v>
      </c>
    </row>
    <row r="80" spans="1:9" x14ac:dyDescent="0.25">
      <c r="A80" t="s">
        <v>904</v>
      </c>
      <c r="B80" t="s">
        <v>905</v>
      </c>
      <c r="C80" t="s">
        <v>763</v>
      </c>
      <c r="D80" s="8">
        <v>12</v>
      </c>
      <c r="E80" s="9">
        <v>224.34</v>
      </c>
      <c r="F80" s="8">
        <v>54</v>
      </c>
      <c r="G80" s="10"/>
      <c r="H80" s="9" t="str">
        <f>IF(G80="","",E80*G80)</f>
        <v/>
      </c>
      <c r="I80" s="11" t="str">
        <f>HYPERLINK("https://optomposuda.ru/product/konteyner-click-lock-3-l-245x165x137","открыть")</f>
        <v>открыть</v>
      </c>
    </row>
    <row r="81" spans="1:9" x14ac:dyDescent="0.25">
      <c r="A81" t="s">
        <v>906</v>
      </c>
      <c r="B81" t="s">
        <v>907</v>
      </c>
      <c r="C81" t="s">
        <v>763</v>
      </c>
      <c r="D81" s="8">
        <v>96</v>
      </c>
      <c r="E81" s="9">
        <v>42.46</v>
      </c>
      <c r="F81" s="8">
        <v>484</v>
      </c>
      <c r="G81" s="10"/>
      <c r="H81" s="9" t="str">
        <f>IF(G81="","",E81*G81)</f>
        <v/>
      </c>
      <c r="I81" s="11" t="str">
        <f>HYPERLINK("https://optomposuda.ru/product/konteyner-fresh-box-0-35-l-kvadratnyy-120h60h107","открыть")</f>
        <v>открыть</v>
      </c>
    </row>
    <row r="82" spans="1:9" x14ac:dyDescent="0.25">
      <c r="A82" t="s">
        <v>908</v>
      </c>
      <c r="B82" t="s">
        <v>909</v>
      </c>
      <c r="C82" t="s">
        <v>763</v>
      </c>
      <c r="D82" s="8">
        <v>96</v>
      </c>
      <c r="E82" s="9">
        <v>54.69</v>
      </c>
      <c r="F82" s="8">
        <v>260</v>
      </c>
      <c r="G82" s="10"/>
      <c r="H82" s="9" t="str">
        <f>IF(G82="","",E82*G82)</f>
        <v/>
      </c>
      <c r="I82" s="11" t="str">
        <f>HYPERLINK("https://optomposuda.ru/product/konteyner-fresh-box-0-55-l-kvadratnyy-120h90h107","открыть")</f>
        <v>открыть</v>
      </c>
    </row>
    <row r="83" spans="1:9" x14ac:dyDescent="0.25">
      <c r="A83" t="s">
        <v>910</v>
      </c>
      <c r="B83" t="s">
        <v>911</v>
      </c>
      <c r="C83" t="s">
        <v>763</v>
      </c>
      <c r="D83" s="8">
        <v>72</v>
      </c>
      <c r="E83" s="9">
        <v>66.73</v>
      </c>
      <c r="F83" s="8">
        <v>328</v>
      </c>
      <c r="G83" s="10"/>
      <c r="H83" s="9" t="str">
        <f>IF(G83="","",E83*G83)</f>
        <v/>
      </c>
      <c r="I83" s="11" t="str">
        <f>HYPERLINK("https://optomposuda.ru/product/konteyner-fresh-box-1-l-170h110h98","открыть")</f>
        <v>открыть</v>
      </c>
    </row>
    <row r="84" spans="1:9" x14ac:dyDescent="0.25">
      <c r="A84" t="s">
        <v>912</v>
      </c>
      <c r="B84" t="s">
        <v>913</v>
      </c>
      <c r="C84" t="s">
        <v>763</v>
      </c>
      <c r="D84" s="8">
        <v>48</v>
      </c>
      <c r="E84" s="9">
        <v>72.49</v>
      </c>
      <c r="F84" s="8">
        <v>268</v>
      </c>
      <c r="G84" s="10"/>
      <c r="H84" s="9" t="str">
        <f>IF(G84="","",E84*G84)</f>
        <v/>
      </c>
      <c r="I84" s="11" t="str">
        <f>HYPERLINK("https://optomposuda.ru/product/konteyner-fresh-box-1-2-l-kvadratnyy-103h157h143","открыть")</f>
        <v>открыть</v>
      </c>
    </row>
    <row r="85" spans="1:9" x14ac:dyDescent="0.25">
      <c r="A85" t="s">
        <v>914</v>
      </c>
      <c r="B85" t="s">
        <v>915</v>
      </c>
      <c r="C85" t="s">
        <v>763</v>
      </c>
      <c r="D85" s="8">
        <v>60</v>
      </c>
      <c r="E85" s="9">
        <v>87.27</v>
      </c>
      <c r="F85" s="8">
        <v>273</v>
      </c>
      <c r="G85" s="10"/>
      <c r="H85" s="9" t="str">
        <f>IF(G85="","",E85*G85)</f>
        <v/>
      </c>
      <c r="I85" s="11" t="str">
        <f>HYPERLINK("https://optomposuda.ru/product/konteyner-fresh-box-1-5-l-215h145h100","открыть")</f>
        <v>открыть</v>
      </c>
    </row>
    <row r="86" spans="1:9" x14ac:dyDescent="0.25">
      <c r="A86" t="s">
        <v>916</v>
      </c>
      <c r="B86" t="s">
        <v>917</v>
      </c>
      <c r="C86" t="s">
        <v>763</v>
      </c>
      <c r="D86" s="8">
        <v>48</v>
      </c>
      <c r="E86" s="9">
        <v>81.59</v>
      </c>
      <c r="F86" s="8">
        <v>402</v>
      </c>
      <c r="G86" s="10"/>
      <c r="H86" s="9" t="str">
        <f>IF(G86="","",E86*G86)</f>
        <v/>
      </c>
      <c r="I86" s="11" t="str">
        <f>HYPERLINK("https://optomposuda.ru/product/konteyner-fresh-box-1-8-l-kvadratnyy","открыть")</f>
        <v>открыть</v>
      </c>
    </row>
    <row r="87" spans="1:9" x14ac:dyDescent="0.25">
      <c r="A87" t="s">
        <v>918</v>
      </c>
      <c r="B87" t="s">
        <v>919</v>
      </c>
      <c r="C87" t="s">
        <v>763</v>
      </c>
      <c r="D87" s="8">
        <v>20</v>
      </c>
      <c r="E87" s="9">
        <v>305.26</v>
      </c>
      <c r="F87" s="8">
        <v>205</v>
      </c>
      <c r="G87" s="10"/>
      <c r="H87" s="9" t="str">
        <f>IF(G87="","",E87*G87)</f>
        <v/>
      </c>
      <c r="I87" s="11" t="str">
        <f>HYPERLINK("https://optomposuda.ru/product/konteyner-fresh-box-11-l-kvadratnyy-280h270h250","открыть")</f>
        <v>открыть</v>
      </c>
    </row>
    <row r="88" spans="1:9" x14ac:dyDescent="0.25">
      <c r="A88" t="s">
        <v>920</v>
      </c>
      <c r="B88" t="s">
        <v>921</v>
      </c>
      <c r="C88" t="s">
        <v>763</v>
      </c>
      <c r="D88" s="8">
        <v>20</v>
      </c>
      <c r="E88" s="9">
        <v>383.46</v>
      </c>
      <c r="F88" s="8">
        <v>304</v>
      </c>
      <c r="G88" s="10"/>
      <c r="H88" s="9" t="str">
        <f>IF(G88="","",E88*G88)</f>
        <v/>
      </c>
      <c r="I88" s="11" t="str">
        <f>HYPERLINK("https://optomposuda.ru/product/konteyner-fresh-box-13-l-410h285h175","открыть")</f>
        <v>открыть</v>
      </c>
    </row>
    <row r="89" spans="1:9" x14ac:dyDescent="0.25">
      <c r="A89" t="s">
        <v>922</v>
      </c>
      <c r="B89" t="s">
        <v>923</v>
      </c>
      <c r="C89" t="s">
        <v>763</v>
      </c>
      <c r="D89" s="8">
        <v>36</v>
      </c>
      <c r="E89" s="9">
        <v>95.73</v>
      </c>
      <c r="F89" s="8">
        <v>267</v>
      </c>
      <c r="G89" s="10"/>
      <c r="H89" s="9" t="str">
        <f>IF(G89="","",E89*G89)</f>
        <v/>
      </c>
      <c r="I89" s="11" t="str">
        <f>HYPERLINK("https://optomposuda.ru/product/konteyner-fresh-box-2-4-l-kvadratnyy-120h200h180","открыть")</f>
        <v>открыть</v>
      </c>
    </row>
    <row r="90" spans="1:9" x14ac:dyDescent="0.25">
      <c r="A90" t="s">
        <v>924</v>
      </c>
      <c r="B90" t="s">
        <v>925</v>
      </c>
      <c r="C90" t="s">
        <v>763</v>
      </c>
      <c r="D90" s="8">
        <v>48</v>
      </c>
      <c r="E90" s="9">
        <v>134.97</v>
      </c>
      <c r="F90" s="8">
        <v>367</v>
      </c>
      <c r="G90" s="10"/>
      <c r="H90" s="9" t="str">
        <f>IF(G90="","",E90*G90)</f>
        <v/>
      </c>
      <c r="I90" s="11" t="str">
        <f>HYPERLINK("https://optomposuda.ru/product/konteyner-fresh-box-3-l-255h173h115","открыть")</f>
        <v>открыть</v>
      </c>
    </row>
    <row r="91" spans="1:9" x14ac:dyDescent="0.25">
      <c r="A91" t="s">
        <v>926</v>
      </c>
      <c r="B91" t="s">
        <v>927</v>
      </c>
      <c r="C91" t="s">
        <v>763</v>
      </c>
      <c r="D91" s="8">
        <v>36</v>
      </c>
      <c r="E91" s="9">
        <v>134.02</v>
      </c>
      <c r="F91" s="8">
        <v>113</v>
      </c>
      <c r="G91" s="10"/>
      <c r="H91" s="9" t="str">
        <f>IF(G91="","",E91*G91)</f>
        <v/>
      </c>
      <c r="I91" s="11" t="str">
        <f>HYPERLINK("https://optomposuda.ru/product/konteyner-fresh-box-3-7-l-kvadratnyy-186h200h180","открыть")</f>
        <v>открыть</v>
      </c>
    </row>
    <row r="92" spans="1:9" x14ac:dyDescent="0.25">
      <c r="A92" t="s">
        <v>928</v>
      </c>
      <c r="B92" t="s">
        <v>929</v>
      </c>
      <c r="C92" t="s">
        <v>763</v>
      </c>
      <c r="D92" s="8">
        <v>36</v>
      </c>
      <c r="E92" s="9">
        <v>209.16</v>
      </c>
      <c r="F92" s="8">
        <v>414</v>
      </c>
      <c r="G92" s="10"/>
      <c r="H92" s="9" t="str">
        <f>IF(G92="","",E92*G92)</f>
        <v/>
      </c>
      <c r="I92" s="11" t="str">
        <f>HYPERLINK("https://optomposuda.ru/product/konteyner-fresh-box-5-l-308h205h135","открыть")</f>
        <v>открыть</v>
      </c>
    </row>
    <row r="93" spans="1:9" x14ac:dyDescent="0.25">
      <c r="A93" t="s">
        <v>930</v>
      </c>
      <c r="B93" t="s">
        <v>931</v>
      </c>
      <c r="C93" t="s">
        <v>763</v>
      </c>
      <c r="D93" s="8">
        <v>20</v>
      </c>
      <c r="E93" s="9">
        <v>215.9</v>
      </c>
      <c r="F93" s="8">
        <v>353</v>
      </c>
      <c r="G93" s="10"/>
      <c r="H93" s="9" t="str">
        <f>IF(G93="","",E93*G93)</f>
        <v/>
      </c>
      <c r="I93" s="11" t="str">
        <f>HYPERLINK("https://optomposuda.ru/product/konteyner-fresh-box-6-l-kvadratnyy-265h250h170","открыть")</f>
        <v>открыть</v>
      </c>
    </row>
    <row r="94" spans="1:9" x14ac:dyDescent="0.25">
      <c r="A94" t="s">
        <v>932</v>
      </c>
      <c r="B94" t="s">
        <v>933</v>
      </c>
      <c r="C94" t="s">
        <v>763</v>
      </c>
      <c r="D94" s="8">
        <v>24</v>
      </c>
      <c r="E94" s="9">
        <v>295.75</v>
      </c>
      <c r="F94" s="8">
        <v>252</v>
      </c>
      <c r="G94" s="10"/>
      <c r="H94" s="9" t="str">
        <f>IF(G94="","",E94*G94)</f>
        <v/>
      </c>
      <c r="I94" s="11" t="str">
        <f>HYPERLINK("https://optomposuda.ru/product/konteyner-fresh-box-8-l-355h235h153","открыть")</f>
        <v>открыть</v>
      </c>
    </row>
    <row r="95" spans="1:9" x14ac:dyDescent="0.25">
      <c r="A95" t="s">
        <v>934</v>
      </c>
      <c r="B95" t="s">
        <v>935</v>
      </c>
      <c r="C95" t="s">
        <v>763</v>
      </c>
      <c r="D95" s="8">
        <v>20</v>
      </c>
      <c r="E95" s="9">
        <v>282.26</v>
      </c>
      <c r="F95" s="8">
        <v>173</v>
      </c>
      <c r="G95" s="10"/>
      <c r="H95" s="9" t="str">
        <f>IF(G95="","",E95*G95)</f>
        <v/>
      </c>
      <c r="I95" s="11" t="str">
        <f>HYPERLINK("https://optomposuda.ru/product/konteyner-fresh-box-8-5-l-kvadratnyy-220h270h250","открыть")</f>
        <v>открыть</v>
      </c>
    </row>
    <row r="96" spans="1:9" x14ac:dyDescent="0.25">
      <c r="A96" t="s">
        <v>936</v>
      </c>
      <c r="B96" t="s">
        <v>937</v>
      </c>
      <c r="C96" t="s">
        <v>763</v>
      </c>
      <c r="D96" s="8">
        <v>72</v>
      </c>
      <c r="E96" s="9">
        <v>58.18</v>
      </c>
      <c r="F96" s="8">
        <v>544</v>
      </c>
      <c r="G96" s="10"/>
      <c r="H96" s="9" t="str">
        <f>IF(G96="","",E96*G96)</f>
        <v/>
      </c>
      <c r="I96" s="11" t="str">
        <f>HYPERLINK("https://optomposuda.ru/product/konteyner-fresh-box-slim-0-6-l-170h110h65","открыть")</f>
        <v>открыть</v>
      </c>
    </row>
    <row r="97" spans="1:9" x14ac:dyDescent="0.25">
      <c r="A97" t="s">
        <v>938</v>
      </c>
      <c r="B97" t="s">
        <v>939</v>
      </c>
      <c r="C97" t="s">
        <v>763</v>
      </c>
      <c r="D97" s="8">
        <v>60</v>
      </c>
      <c r="E97" s="9">
        <v>74.46</v>
      </c>
      <c r="F97" s="8">
        <v>475</v>
      </c>
      <c r="G97" s="10"/>
      <c r="H97" s="9" t="str">
        <f>IF(G97="","",E97*G97)</f>
        <v/>
      </c>
      <c r="I97" s="11" t="str">
        <f>HYPERLINK("https://optomposuda.ru/product/konteyner-fresh-box-slim-1-2-l-215h145h72","открыть")</f>
        <v>открыть</v>
      </c>
    </row>
    <row r="98" spans="1:9" x14ac:dyDescent="0.25">
      <c r="A98" t="s">
        <v>940</v>
      </c>
      <c r="B98" t="s">
        <v>941</v>
      </c>
      <c r="C98" t="s">
        <v>763</v>
      </c>
      <c r="D98" s="8">
        <v>20</v>
      </c>
      <c r="E98" s="9">
        <v>337.35</v>
      </c>
      <c r="F98" s="8">
        <v>287</v>
      </c>
      <c r="G98" s="10"/>
      <c r="H98" s="9" t="str">
        <f>IF(G98="","",E98*G98)</f>
        <v/>
      </c>
      <c r="I98" s="11" t="str">
        <f>HYPERLINK("https://optomposuda.ru/product/konteyner-fresh-box-slim-10-l-410h285h135","открыть")</f>
        <v>открыть</v>
      </c>
    </row>
    <row r="99" spans="1:9" x14ac:dyDescent="0.25">
      <c r="A99" t="s">
        <v>942</v>
      </c>
      <c r="B99" t="s">
        <v>943</v>
      </c>
      <c r="C99" t="s">
        <v>763</v>
      </c>
      <c r="D99" s="8">
        <v>48</v>
      </c>
      <c r="E99" s="9">
        <v>109.37</v>
      </c>
      <c r="F99" s="8">
        <v>411</v>
      </c>
      <c r="G99" s="10"/>
      <c r="H99" s="9" t="str">
        <f>IF(G99="","",E99*G99)</f>
        <v/>
      </c>
      <c r="I99" s="11" t="str">
        <f>HYPERLINK("https://optomposuda.ru/product/konteyner-fresh-box-slim-2-l-255h173h85","открыть")</f>
        <v>открыть</v>
      </c>
    </row>
    <row r="100" spans="1:9" x14ac:dyDescent="0.25">
      <c r="A100" t="s">
        <v>944</v>
      </c>
      <c r="B100" t="s">
        <v>945</v>
      </c>
      <c r="C100" t="s">
        <v>763</v>
      </c>
      <c r="D100" s="8">
        <v>36</v>
      </c>
      <c r="E100" s="9">
        <v>166.39</v>
      </c>
      <c r="F100" s="8">
        <v>260</v>
      </c>
      <c r="G100" s="10"/>
      <c r="H100" s="9" t="str">
        <f>IF(G100="","",E100*G100)</f>
        <v/>
      </c>
      <c r="I100" s="11" t="str">
        <f>HYPERLINK("https://optomposuda.ru/product/konteyner-fresh-box-slim-3-8-l-308h205h105","открыть")</f>
        <v>открыть</v>
      </c>
    </row>
    <row r="101" spans="1:9" x14ac:dyDescent="0.25">
      <c r="A101" t="s">
        <v>946</v>
      </c>
      <c r="B101" t="s">
        <v>947</v>
      </c>
      <c r="C101" t="s">
        <v>763</v>
      </c>
      <c r="D101" s="8">
        <v>24</v>
      </c>
      <c r="E101" s="9">
        <v>237</v>
      </c>
      <c r="F101" s="8">
        <v>304</v>
      </c>
      <c r="G101" s="10"/>
      <c r="H101" s="9" t="str">
        <f>IF(G101="","",E101*G101)</f>
        <v/>
      </c>
      <c r="I101" s="11" t="str">
        <f>HYPERLINK("https://optomposuda.ru/product/konteyner-fresh-box-slim-6-l-355h235h120","открыть")</f>
        <v>открыть</v>
      </c>
    </row>
    <row r="102" spans="1:9" x14ac:dyDescent="0.25">
      <c r="A102" t="s">
        <v>948</v>
      </c>
      <c r="B102" t="s">
        <v>949</v>
      </c>
      <c r="C102" t="s">
        <v>763</v>
      </c>
      <c r="D102" s="8">
        <v>36</v>
      </c>
      <c r="E102" s="9">
        <v>114.17</v>
      </c>
      <c r="F102" s="8">
        <v>448</v>
      </c>
      <c r="G102" s="10"/>
      <c r="H102" s="9" t="str">
        <f>IF(G102="","",E102*G102)</f>
        <v/>
      </c>
      <c r="I102" s="11" t="str">
        <f>HYPERLINK("https://optomposuda.ru/product/konteyner-grand-2-5-l-376-150-67","открыть")</f>
        <v>открыть</v>
      </c>
    </row>
    <row r="103" spans="1:9" x14ac:dyDescent="0.25">
      <c r="A103" t="s">
        <v>950</v>
      </c>
      <c r="B103" t="s">
        <v>951</v>
      </c>
      <c r="C103" t="s">
        <v>763</v>
      </c>
      <c r="D103" s="8">
        <v>24</v>
      </c>
      <c r="E103" s="9">
        <v>149.57</v>
      </c>
      <c r="F103" s="8">
        <v>395</v>
      </c>
      <c r="G103" s="10"/>
      <c r="H103" s="9" t="str">
        <f>IF(G103="","",E103*G103)</f>
        <v/>
      </c>
      <c r="I103" s="11" t="str">
        <f>HYPERLINK("https://optomposuda.ru/product/konteyner-grand-3-5-l-376-150-90","открыть")</f>
        <v>открыть</v>
      </c>
    </row>
    <row r="104" spans="1:9" x14ac:dyDescent="0.25">
      <c r="A104" t="s">
        <v>952</v>
      </c>
      <c r="B104" t="s">
        <v>953</v>
      </c>
      <c r="C104" t="s">
        <v>763</v>
      </c>
      <c r="D104" s="8">
        <v>96</v>
      </c>
      <c r="E104" s="9">
        <v>53.52</v>
      </c>
      <c r="F104" s="8">
        <v>408</v>
      </c>
      <c r="G104" s="10"/>
      <c r="H104" s="9" t="str">
        <f>IF(G104="","",E104*G104)</f>
        <v/>
      </c>
      <c r="I104" s="11" t="str">
        <f>HYPERLINK("https://optomposuda.ru/product/konteyner-grand-pryamougolnyy-0-5-l","открыть")</f>
        <v>открыть</v>
      </c>
    </row>
    <row r="105" spans="1:9" x14ac:dyDescent="0.25">
      <c r="A105" t="s">
        <v>954</v>
      </c>
      <c r="B105" t="s">
        <v>955</v>
      </c>
      <c r="C105" t="s">
        <v>763</v>
      </c>
      <c r="D105" s="8">
        <v>96</v>
      </c>
      <c r="E105" s="9">
        <v>62.13</v>
      </c>
      <c r="F105" s="8">
        <v>483</v>
      </c>
      <c r="G105" s="10"/>
      <c r="H105" s="9" t="str">
        <f>IF(G105="","",E105*G105)</f>
        <v/>
      </c>
      <c r="I105" s="11" t="str">
        <f>HYPERLINK("https://optomposuda.ru/product/konteyner-grand-pryamougolnyy-0-8-l","открыть")</f>
        <v>открыть</v>
      </c>
    </row>
    <row r="106" spans="1:9" x14ac:dyDescent="0.25">
      <c r="A106" t="s">
        <v>956</v>
      </c>
      <c r="B106" t="s">
        <v>957</v>
      </c>
      <c r="C106" t="s">
        <v>763</v>
      </c>
      <c r="D106" s="8">
        <v>72</v>
      </c>
      <c r="E106" s="9">
        <v>72.49</v>
      </c>
      <c r="F106" s="8">
        <v>277</v>
      </c>
      <c r="G106" s="10"/>
      <c r="H106" s="9" t="str">
        <f>IF(G106="","",E106*G106)</f>
        <v/>
      </c>
      <c r="I106" s="11" t="str">
        <f>HYPERLINK("https://optomposuda.ru/product/konteyner-grand-pryamougolnyy-1-l","открыть")</f>
        <v>открыть</v>
      </c>
    </row>
    <row r="107" spans="1:9" x14ac:dyDescent="0.25">
      <c r="A107" t="s">
        <v>958</v>
      </c>
      <c r="B107" t="s">
        <v>959</v>
      </c>
      <c r="C107" t="s">
        <v>763</v>
      </c>
      <c r="D107" s="8">
        <v>60</v>
      </c>
      <c r="E107" s="9">
        <v>75.93</v>
      </c>
      <c r="F107" s="8">
        <v>273</v>
      </c>
      <c r="G107" s="10"/>
      <c r="H107" s="9" t="str">
        <f>IF(G107="","",E107*G107)</f>
        <v/>
      </c>
      <c r="I107" s="11" t="str">
        <f>HYPERLINK("https://optomposuda.ru/product/konteyner-grand-pryamougolnyy-1-2-l","открыть")</f>
        <v>открыть</v>
      </c>
    </row>
    <row r="108" spans="1:9" x14ac:dyDescent="0.25">
      <c r="A108" t="s">
        <v>960</v>
      </c>
      <c r="B108" t="s">
        <v>961</v>
      </c>
      <c r="C108" t="s">
        <v>763</v>
      </c>
      <c r="D108" s="8">
        <v>48</v>
      </c>
      <c r="E108" s="9">
        <v>95.59</v>
      </c>
      <c r="F108" s="8">
        <v>184</v>
      </c>
      <c r="G108" s="10"/>
      <c r="H108" s="9" t="str">
        <f>IF(G108="","",E108*G108)</f>
        <v/>
      </c>
      <c r="I108" s="11" t="str">
        <f>HYPERLINK("https://optomposuda.ru/product/konteyner-grand-pryamougolnyy-1-8-l","открыть")</f>
        <v>открыть</v>
      </c>
    </row>
    <row r="109" spans="1:9" x14ac:dyDescent="0.25">
      <c r="A109" t="s">
        <v>962</v>
      </c>
      <c r="B109" t="s">
        <v>963</v>
      </c>
      <c r="C109" t="s">
        <v>763</v>
      </c>
      <c r="D109" s="8">
        <v>1</v>
      </c>
      <c r="E109" s="9">
        <v>90.9</v>
      </c>
      <c r="F109" s="8">
        <v>162</v>
      </c>
      <c r="G109" s="10"/>
      <c r="H109" s="9" t="str">
        <f>IF(G109="","",E109*G109)</f>
        <v/>
      </c>
      <c r="I109" s="11" t="str">
        <f>HYPERLINK("https://optomposuda.ru/product/konteyner-practic-5-l","открыть")</f>
        <v>открыть</v>
      </c>
    </row>
    <row r="110" spans="1:9" x14ac:dyDescent="0.25">
      <c r="A110" t="s">
        <v>964</v>
      </c>
      <c r="B110" t="s">
        <v>965</v>
      </c>
      <c r="C110" t="s">
        <v>763</v>
      </c>
      <c r="D110" s="8">
        <v>36</v>
      </c>
      <c r="E110" s="9">
        <v>114.53</v>
      </c>
      <c r="F110" s="8">
        <v>10</v>
      </c>
      <c r="G110" s="10"/>
      <c r="H110" s="9" t="str">
        <f>IF(G110="","",E110*G110)</f>
        <v/>
      </c>
      <c r="I110" s="11" t="str">
        <f>HYPERLINK("https://optomposuda.ru/product/konteyner-prague-0-4-l","открыть")</f>
        <v>открыть</v>
      </c>
    </row>
    <row r="111" spans="1:9" x14ac:dyDescent="0.25">
      <c r="A111" t="s">
        <v>966</v>
      </c>
      <c r="B111" t="s">
        <v>967</v>
      </c>
      <c r="C111" t="s">
        <v>763</v>
      </c>
      <c r="D111" s="8">
        <v>24</v>
      </c>
      <c r="E111" s="9">
        <v>138.98</v>
      </c>
      <c r="F111" s="8">
        <v>83</v>
      </c>
      <c r="G111" s="10"/>
      <c r="H111" s="9" t="str">
        <f>IF(G111="","",E111*G111)</f>
        <v/>
      </c>
      <c r="I111" s="11" t="str">
        <f>HYPERLINK("https://optomposuda.ru/product/konteyner-prague-0-7-l","открыть")</f>
        <v>открыть</v>
      </c>
    </row>
    <row r="112" spans="1:9" x14ac:dyDescent="0.25">
      <c r="A112" t="s">
        <v>968</v>
      </c>
      <c r="B112" t="s">
        <v>969</v>
      </c>
      <c r="C112" t="s">
        <v>763</v>
      </c>
      <c r="D112" s="8">
        <v>24</v>
      </c>
      <c r="E112" s="9">
        <v>172.53</v>
      </c>
      <c r="F112" s="8">
        <v>94</v>
      </c>
      <c r="G112" s="10"/>
      <c r="H112" s="9" t="str">
        <f>IF(G112="","",E112*G112)</f>
        <v/>
      </c>
      <c r="I112" s="11" t="str">
        <f>HYPERLINK("https://optomposuda.ru/product/konteyner-prague-1-25-l","открыть")</f>
        <v>открыть</v>
      </c>
    </row>
    <row r="113" spans="1:9" x14ac:dyDescent="0.25">
      <c r="A113" t="s">
        <v>970</v>
      </c>
      <c r="B113" t="s">
        <v>971</v>
      </c>
      <c r="C113" t="s">
        <v>763</v>
      </c>
      <c r="D113" s="8">
        <v>36</v>
      </c>
      <c r="E113" s="9">
        <v>96.71</v>
      </c>
      <c r="F113" s="8">
        <v>72</v>
      </c>
      <c r="G113" s="10"/>
      <c r="H113" s="9" t="str">
        <f>IF(G113="","",E113*G113)</f>
        <v/>
      </c>
      <c r="I113" s="11" t="str">
        <f>HYPERLINK("https://optomposuda.ru/product/konteyner-smart-lock-0-4-l-105h95-sm","открыть")</f>
        <v>открыть</v>
      </c>
    </row>
    <row r="114" spans="1:9" x14ac:dyDescent="0.25">
      <c r="A114" t="s">
        <v>972</v>
      </c>
      <c r="B114" t="s">
        <v>973</v>
      </c>
      <c r="C114" t="s">
        <v>763</v>
      </c>
      <c r="D114" s="8">
        <v>60</v>
      </c>
      <c r="E114" s="9">
        <v>47.16</v>
      </c>
      <c r="F114" s="8">
        <v>73</v>
      </c>
      <c r="G114" s="10"/>
      <c r="H114" s="9" t="str">
        <f>IF(G114="","",E114*G114)</f>
        <v/>
      </c>
      <c r="I114" s="11" t="str">
        <f>HYPERLINK("https://optomposuda.ru/product/konteyner-snack-box-130-136-65-cveta-v-assortimente","открыть")</f>
        <v>открыть</v>
      </c>
    </row>
    <row r="115" spans="1:9" x14ac:dyDescent="0.25">
      <c r="A115" t="s">
        <v>974</v>
      </c>
      <c r="B115" t="s">
        <v>975</v>
      </c>
      <c r="C115" t="s">
        <v>763</v>
      </c>
      <c r="D115" s="8">
        <v>12</v>
      </c>
      <c r="E115" s="9">
        <v>551.01</v>
      </c>
      <c r="F115" s="8">
        <v>60</v>
      </c>
      <c r="G115" s="10"/>
      <c r="H115" s="9" t="str">
        <f>IF(G115="","",E115*G115)</f>
        <v/>
      </c>
      <c r="I115" s="11" t="str">
        <f>HYPERLINK("https://optomposuda.ru/product/konteyner-ultra-26-l","открыть")</f>
        <v>открыть</v>
      </c>
    </row>
    <row r="116" spans="1:9" x14ac:dyDescent="0.25">
      <c r="A116" t="s">
        <v>976</v>
      </c>
      <c r="B116" t="s">
        <v>977</v>
      </c>
      <c r="C116" t="s">
        <v>763</v>
      </c>
      <c r="D116" s="8">
        <v>24</v>
      </c>
      <c r="E116" s="9">
        <v>136.07</v>
      </c>
      <c r="F116" s="8">
        <v>120</v>
      </c>
      <c r="G116" s="10"/>
      <c r="H116" s="9" t="str">
        <f>IF(G116="","",E116*G116)</f>
        <v/>
      </c>
      <c r="I116" s="11" t="str">
        <f>HYPERLINK("https://optomposuda.ru/product/konteyner-ultra-5-l","открыть")</f>
        <v>открыть</v>
      </c>
    </row>
    <row r="117" spans="1:9" x14ac:dyDescent="0.25">
      <c r="A117" t="s">
        <v>978</v>
      </c>
      <c r="B117" t="s">
        <v>979</v>
      </c>
      <c r="C117" t="s">
        <v>763</v>
      </c>
      <c r="D117" s="8">
        <v>6</v>
      </c>
      <c r="E117" s="9">
        <v>294.62</v>
      </c>
      <c r="F117" s="8">
        <v>84</v>
      </c>
      <c r="G117" s="10"/>
      <c r="H117" s="9" t="str">
        <f>IF(G117="","",E117*G117)</f>
        <v/>
      </c>
      <c r="I117" s="11" t="str">
        <f>HYPERLINK("https://optomposuda.ru/product/konteyner-dlya-vypechki-kruglyy-390h340h160","открыть")</f>
        <v>открыть</v>
      </c>
    </row>
    <row r="118" spans="1:9" x14ac:dyDescent="0.25">
      <c r="A118" t="s">
        <v>980</v>
      </c>
      <c r="B118" t="s">
        <v>981</v>
      </c>
      <c r="C118" t="s">
        <v>763</v>
      </c>
      <c r="D118" s="8">
        <v>12</v>
      </c>
      <c r="E118" s="9">
        <v>275.51</v>
      </c>
      <c r="F118" s="8">
        <v>81</v>
      </c>
      <c r="G118" s="10"/>
      <c r="H118" s="9" t="str">
        <f>IF(G118="","",E118*G118)</f>
        <v/>
      </c>
      <c r="I118" s="11" t="str">
        <f>HYPERLINK("https://optomposuda.ru/product/konteyner-dlya-vypechki-pryamougolnyy-430h300h105","открыть")</f>
        <v>открыть</v>
      </c>
    </row>
    <row r="119" spans="1:9" x14ac:dyDescent="0.25">
      <c r="A119" t="s">
        <v>982</v>
      </c>
      <c r="B119" t="s">
        <v>983</v>
      </c>
      <c r="C119" t="s">
        <v>763</v>
      </c>
      <c r="D119" s="8">
        <v>12</v>
      </c>
      <c r="E119" s="9">
        <v>345.04</v>
      </c>
      <c r="F119" s="8">
        <v>56</v>
      </c>
      <c r="G119" s="10"/>
      <c r="H119" s="9" t="str">
        <f>IF(G119="","",E119*G119)</f>
        <v/>
      </c>
      <c r="I119" s="11" t="str">
        <f>HYPERLINK("https://optomposuda.ru/product/konteyner-dlya-ovoschey-12l-330h240h235","открыть")</f>
        <v>открыть</v>
      </c>
    </row>
    <row r="120" spans="1:9" x14ac:dyDescent="0.25">
      <c r="A120" t="s">
        <v>984</v>
      </c>
      <c r="B120" t="s">
        <v>985</v>
      </c>
      <c r="C120" t="s">
        <v>763</v>
      </c>
      <c r="D120" s="8">
        <v>60</v>
      </c>
      <c r="E120" s="9">
        <v>64.25</v>
      </c>
      <c r="F120" s="8">
        <v>4</v>
      </c>
      <c r="G120" s="10"/>
      <c r="H120" s="9" t="str">
        <f>IF(G120="","",E120*G120)</f>
        <v/>
      </c>
      <c r="I120" s="11" t="str">
        <f>HYPERLINK("https://optomposuda.ru/product/konteyner-dlya-svch-1-l-s-kryshkoy-i-klapanom","открыть")</f>
        <v>открыть</v>
      </c>
    </row>
    <row r="121" spans="1:9" x14ac:dyDescent="0.25">
      <c r="A121" t="s">
        <v>986</v>
      </c>
      <c r="B121" t="s">
        <v>987</v>
      </c>
      <c r="C121" t="s">
        <v>763</v>
      </c>
      <c r="D121" s="8">
        <v>60</v>
      </c>
      <c r="E121" s="9">
        <v>81.15</v>
      </c>
      <c r="F121" s="8">
        <v>26</v>
      </c>
      <c r="G121" s="10"/>
      <c r="H121" s="9" t="str">
        <f>IF(G121="","",E121*G121)</f>
        <v/>
      </c>
      <c r="I121" s="11" t="str">
        <f>HYPERLINK("https://optomposuda.ru/product/konteyner-dlya-svch-1-l-s-kryshkoy-i-klapanom-s-risunkom","открыть")</f>
        <v>открыть</v>
      </c>
    </row>
    <row r="122" spans="1:9" x14ac:dyDescent="0.25">
      <c r="A122" t="s">
        <v>988</v>
      </c>
      <c r="B122" t="s">
        <v>989</v>
      </c>
      <c r="C122" t="s">
        <v>763</v>
      </c>
      <c r="D122" s="8">
        <v>48</v>
      </c>
      <c r="E122" s="9">
        <v>93.34</v>
      </c>
      <c r="F122" s="8">
        <v>48</v>
      </c>
      <c r="G122" s="10"/>
      <c r="H122" s="9" t="str">
        <f>IF(G122="","",E122*G122)</f>
        <v/>
      </c>
      <c r="I122" s="11" t="str">
        <f>HYPERLINK("https://optomposuda.ru/product/konteyner-dlya-svch-2-l-s-kryshkoy-i-klapanom","открыть")</f>
        <v>открыть</v>
      </c>
    </row>
    <row r="123" spans="1:9" x14ac:dyDescent="0.25">
      <c r="A123" t="s">
        <v>990</v>
      </c>
      <c r="B123" t="s">
        <v>991</v>
      </c>
      <c r="C123" t="s">
        <v>763</v>
      </c>
      <c r="D123" s="8">
        <v>48</v>
      </c>
      <c r="E123" s="9">
        <v>102.32</v>
      </c>
      <c r="F123" s="8">
        <v>7</v>
      </c>
      <c r="G123" s="10"/>
      <c r="H123" s="9" t="str">
        <f>IF(G123="","",E123*G123)</f>
        <v/>
      </c>
      <c r="I123" s="11" t="str">
        <f>HYPERLINK("https://optomposuda.ru/product/konteyner-dlya-svch-2-l-s-kryshkoy-i-klapanom-s-risunkom","открыть")</f>
        <v>открыть</v>
      </c>
    </row>
    <row r="124" spans="1:9" x14ac:dyDescent="0.25">
      <c r="A124" t="s">
        <v>992</v>
      </c>
      <c r="B124" t="s">
        <v>993</v>
      </c>
      <c r="C124" t="s">
        <v>763</v>
      </c>
      <c r="D124" s="8">
        <v>32</v>
      </c>
      <c r="E124" s="9">
        <v>112.45</v>
      </c>
      <c r="F124" s="8">
        <v>32</v>
      </c>
      <c r="G124" s="10"/>
      <c r="H124" s="9" t="str">
        <f>IF(G124="","",E124*G124)</f>
        <v/>
      </c>
      <c r="I124" s="11" t="str">
        <f>HYPERLINK("https://optomposuda.ru/product/konteyner-dlya-svch-3-l-s-kryshkoy-i-klapanom","открыть")</f>
        <v>открыть</v>
      </c>
    </row>
    <row r="125" spans="1:9" x14ac:dyDescent="0.25">
      <c r="A125" t="s">
        <v>994</v>
      </c>
      <c r="B125" t="s">
        <v>995</v>
      </c>
      <c r="C125" t="s">
        <v>763</v>
      </c>
      <c r="D125" s="8">
        <v>1</v>
      </c>
      <c r="E125" s="9">
        <v>46.11</v>
      </c>
      <c r="F125" s="8">
        <v>180</v>
      </c>
      <c r="G125" s="10"/>
      <c r="H125" s="9" t="str">
        <f>IF(G125="","",E125*G125)</f>
        <v/>
      </c>
      <c r="I125" s="11" t="str">
        <f>HYPERLINK("https://optomposuda.ru/product/konteyner-dlya-sousa-0-4-l","открыть")</f>
        <v>открыть</v>
      </c>
    </row>
    <row r="126" spans="1:9" x14ac:dyDescent="0.25">
      <c r="A126" t="s">
        <v>996</v>
      </c>
      <c r="B126" t="s">
        <v>997</v>
      </c>
      <c r="C126" t="s">
        <v>763</v>
      </c>
      <c r="D126" s="8">
        <v>40</v>
      </c>
      <c r="E126" s="9">
        <v>83.29</v>
      </c>
      <c r="F126" s="8">
        <v>41</v>
      </c>
      <c r="G126" s="10"/>
      <c r="H126" s="9" t="str">
        <f>IF(G126="","",E126*G126)</f>
        <v/>
      </c>
      <c r="I126" s="11" t="str">
        <f>HYPERLINK("https://optomposuda.ru/product/konteyner-dlya-sypuchih-produktov-layt-2-l","открыть")</f>
        <v>открыть</v>
      </c>
    </row>
    <row r="127" spans="1:9" x14ac:dyDescent="0.25">
      <c r="A127" t="s">
        <v>998</v>
      </c>
      <c r="B127" t="s">
        <v>999</v>
      </c>
      <c r="C127" t="s">
        <v>763</v>
      </c>
      <c r="D127" s="8">
        <v>36</v>
      </c>
      <c r="E127" s="9">
        <v>109.46</v>
      </c>
      <c r="F127" s="8">
        <v>14</v>
      </c>
      <c r="G127" s="10"/>
      <c r="H127" s="9" t="str">
        <f>IF(G127="","",E127*G127)</f>
        <v/>
      </c>
      <c r="I127" s="11" t="str">
        <f>HYPERLINK("https://optomposuda.ru/product/konteyner-dlya-sypuchih-produktov-layt-3-l","открыть")</f>
        <v>открыть</v>
      </c>
    </row>
    <row r="128" spans="1:9" x14ac:dyDescent="0.25">
      <c r="A128" t="s">
        <v>1000</v>
      </c>
      <c r="B128" t="s">
        <v>1001</v>
      </c>
      <c r="C128" t="s">
        <v>763</v>
      </c>
      <c r="D128" s="8">
        <v>24</v>
      </c>
      <c r="E128" s="9">
        <v>160.56</v>
      </c>
      <c r="F128" s="8">
        <v>19</v>
      </c>
      <c r="G128" s="10"/>
      <c r="H128" s="9" t="str">
        <f>IF(G128="","",E128*G128)</f>
        <v/>
      </c>
      <c r="I128" s="11" t="str">
        <f>HYPERLINK("https://optomposuda.ru/product/konteyner-dlya-sypuchih-produktov-layt-5-l","открыть")</f>
        <v>открыть</v>
      </c>
    </row>
    <row r="129" spans="1:9" x14ac:dyDescent="0.25">
      <c r="A129" t="s">
        <v>1002</v>
      </c>
      <c r="B129" t="s">
        <v>1003</v>
      </c>
      <c r="C129" t="s">
        <v>763</v>
      </c>
      <c r="D129" s="8">
        <v>24</v>
      </c>
      <c r="E129" s="9">
        <v>137.12</v>
      </c>
      <c r="F129" s="8">
        <v>26</v>
      </c>
      <c r="G129" s="10"/>
      <c r="H129" s="9" t="str">
        <f>IF(G129="","",E129*G129)</f>
        <v/>
      </c>
      <c r="I129" s="11" t="str">
        <f>HYPERLINK("https://optomposuda.ru/product/konteyner-dlya-hraneniya-elegance-4-l-290x185x110","открыть")</f>
        <v>открыть</v>
      </c>
    </row>
    <row r="130" spans="1:9" x14ac:dyDescent="0.25">
      <c r="A130" t="s">
        <v>1004</v>
      </c>
      <c r="B130" t="s">
        <v>1005</v>
      </c>
      <c r="C130" t="s">
        <v>763</v>
      </c>
      <c r="D130" s="8">
        <v>64</v>
      </c>
      <c r="E130" s="9">
        <v>59.49</v>
      </c>
      <c r="F130" s="8">
        <v>59</v>
      </c>
      <c r="G130" s="10"/>
      <c r="H130" s="9" t="str">
        <f>IF(G130="","",E130*G130)</f>
        <v/>
      </c>
      <c r="I130" s="11" t="str">
        <f>HYPERLINK("https://optomposuda.ru/product/konteyner-dlya-hraneniya-limona-120-90-78-cveta-v-assortimente","открыть")</f>
        <v>открыть</v>
      </c>
    </row>
    <row r="131" spans="1:9" x14ac:dyDescent="0.25">
      <c r="A131" t="s">
        <v>1006</v>
      </c>
      <c r="B131" t="s">
        <v>1007</v>
      </c>
      <c r="C131" t="s">
        <v>763</v>
      </c>
      <c r="D131" s="8">
        <v>24</v>
      </c>
      <c r="E131" s="9">
        <v>97.8</v>
      </c>
      <c r="F131" s="8">
        <v>20</v>
      </c>
      <c r="G131" s="10"/>
      <c r="H131" s="9" t="str">
        <f>IF(G131="","",E131*G131)</f>
        <v/>
      </c>
      <c r="I131" s="11" t="str">
        <f>HYPERLINK("https://optomposuda.ru/product/konteyner-dlya-yaic-10-sht","открыть")</f>
        <v>открыть</v>
      </c>
    </row>
    <row r="132" spans="1:9" x14ac:dyDescent="0.25">
      <c r="A132" t="s">
        <v>1008</v>
      </c>
      <c r="B132" t="s">
        <v>1009</v>
      </c>
      <c r="C132" t="s">
        <v>763</v>
      </c>
      <c r="D132" s="8">
        <v>54</v>
      </c>
      <c r="E132" s="9">
        <v>48.32</v>
      </c>
      <c r="F132" s="8">
        <v>397</v>
      </c>
      <c r="G132" s="10"/>
      <c r="H132" s="9" t="str">
        <f>IF(G132="","",E132*G132)</f>
        <v/>
      </c>
      <c r="I132" s="11" t="str">
        <f>HYPERLINK("https://optomposuda.ru/product/konteyner-pischevoy-kvadratnyy-layt-0-9-l","открыть")</f>
        <v>открыть</v>
      </c>
    </row>
    <row r="133" spans="1:9" x14ac:dyDescent="0.25">
      <c r="A133" t="s">
        <v>1010</v>
      </c>
      <c r="B133" t="s">
        <v>1011</v>
      </c>
      <c r="C133" t="s">
        <v>763</v>
      </c>
      <c r="D133" s="8">
        <v>36</v>
      </c>
      <c r="E133" s="9">
        <v>55.22</v>
      </c>
      <c r="F133" s="8">
        <v>138</v>
      </c>
      <c r="G133" s="10"/>
      <c r="H133" s="9" t="str">
        <f>IF(G133="","",E133*G133)</f>
        <v/>
      </c>
      <c r="I133" s="11" t="str">
        <f>HYPERLINK("https://optomposuda.ru/product/konteyner-pischevoy-kvadratnyy-layt-1-2-l-17-17-17-sm","открыть")</f>
        <v>открыть</v>
      </c>
    </row>
    <row r="134" spans="1:9" x14ac:dyDescent="0.25">
      <c r="A134" t="s">
        <v>1012</v>
      </c>
      <c r="B134" t="s">
        <v>1013</v>
      </c>
      <c r="C134" t="s">
        <v>763</v>
      </c>
      <c r="D134" s="8">
        <v>54</v>
      </c>
      <c r="E134" s="9">
        <v>48.32</v>
      </c>
      <c r="F134" s="8">
        <v>320</v>
      </c>
      <c r="G134" s="10"/>
      <c r="H134" s="9" t="str">
        <f>IF(G134="","",E134*G134)</f>
        <v/>
      </c>
      <c r="I134" s="11" t="str">
        <f>HYPERLINK("https://optomposuda.ru/product/konteyner-pischevoy-pryamougolnyy-layt-0-9-l","открыть")</f>
        <v>открыть</v>
      </c>
    </row>
    <row r="135" spans="1:9" x14ac:dyDescent="0.25">
      <c r="A135" t="s">
        <v>1014</v>
      </c>
      <c r="B135" t="s">
        <v>1015</v>
      </c>
      <c r="C135" t="s">
        <v>763</v>
      </c>
      <c r="D135" s="8">
        <v>36</v>
      </c>
      <c r="E135" s="9">
        <v>57.36</v>
      </c>
      <c r="F135" s="8">
        <v>38</v>
      </c>
      <c r="G135" s="10"/>
      <c r="H135" s="9" t="str">
        <f>IF(G135="","",E135*G135)</f>
        <v/>
      </c>
      <c r="I135" s="11" t="str">
        <f>HYPERLINK("https://optomposuda.ru/product/konteyner-pischevoy-pryamougolnyy-layt-1-2-l","открыть")</f>
        <v>открыть</v>
      </c>
    </row>
    <row r="136" spans="1:9" x14ac:dyDescent="0.25">
      <c r="A136" t="s">
        <v>1016</v>
      </c>
      <c r="B136" t="s">
        <v>1017</v>
      </c>
      <c r="C136" t="s">
        <v>763</v>
      </c>
      <c r="D136" s="8">
        <v>90</v>
      </c>
      <c r="E136" s="9">
        <v>52.86</v>
      </c>
      <c r="F136" s="8">
        <v>733</v>
      </c>
      <c r="G136" s="10"/>
      <c r="H136" s="9" t="str">
        <f>IF(G136="","",E136*G136)</f>
        <v/>
      </c>
      <c r="I136" s="11" t="str">
        <f>HYPERLINK("https://optomposuda.ru/product/kruzhka-mernaya-domino-0-3-l","открыть")</f>
        <v>открыть</v>
      </c>
    </row>
    <row r="137" spans="1:9" x14ac:dyDescent="0.25">
      <c r="A137" t="s">
        <v>1018</v>
      </c>
      <c r="B137" t="s">
        <v>1019</v>
      </c>
      <c r="C137" t="s">
        <v>763</v>
      </c>
      <c r="D137" s="8">
        <v>60</v>
      </c>
      <c r="E137" s="9">
        <v>70.85</v>
      </c>
      <c r="F137" s="8">
        <v>1092</v>
      </c>
      <c r="G137" s="10"/>
      <c r="H137" s="9" t="str">
        <f>IF(G137="","",E137*G137)</f>
        <v/>
      </c>
      <c r="I137" s="11" t="str">
        <f>HYPERLINK("https://optomposuda.ru/product/kruzhka-mernaya-domino-0-5-l","открыть")</f>
        <v>открыть</v>
      </c>
    </row>
    <row r="138" spans="1:9" x14ac:dyDescent="0.25">
      <c r="A138" t="s">
        <v>1020</v>
      </c>
      <c r="B138" t="s">
        <v>1021</v>
      </c>
      <c r="C138" t="s">
        <v>763</v>
      </c>
      <c r="D138" s="8">
        <v>45</v>
      </c>
      <c r="E138" s="9">
        <v>88.84</v>
      </c>
      <c r="F138" s="8">
        <v>781</v>
      </c>
      <c r="G138" s="10"/>
      <c r="H138" s="9" t="str">
        <f>IF(G138="","",E138*G138)</f>
        <v/>
      </c>
      <c r="I138" s="11" t="str">
        <f>HYPERLINK("https://optomposuda.ru/product/kruzhka-mernaya-domino-1-0-l","открыть")</f>
        <v>открыть</v>
      </c>
    </row>
    <row r="139" spans="1:9" x14ac:dyDescent="0.25">
      <c r="A139" t="s">
        <v>1022</v>
      </c>
      <c r="B139" t="s">
        <v>1023</v>
      </c>
      <c r="C139" t="s">
        <v>763</v>
      </c>
      <c r="D139" s="8">
        <v>36</v>
      </c>
      <c r="E139" s="9">
        <v>134.97</v>
      </c>
      <c r="F139" s="8">
        <v>642</v>
      </c>
      <c r="G139" s="10"/>
      <c r="H139" s="9" t="str">
        <f>IF(G139="","",E139*G139)</f>
        <v/>
      </c>
      <c r="I139" s="11" t="str">
        <f>HYPERLINK("https://optomposuda.ru/product/kruzhka-mernaya-domino-2-0-l","открыть")</f>
        <v>открыть</v>
      </c>
    </row>
    <row r="140" spans="1:9" x14ac:dyDescent="0.25">
      <c r="A140" t="s">
        <v>1024</v>
      </c>
      <c r="B140" t="s">
        <v>1025</v>
      </c>
      <c r="C140" t="s">
        <v>763</v>
      </c>
      <c r="D140" s="8">
        <v>36</v>
      </c>
      <c r="E140" s="9">
        <v>130.01</v>
      </c>
      <c r="F140" s="8">
        <v>85</v>
      </c>
      <c r="G140" s="10"/>
      <c r="H140" s="9" t="str">
        <f>IF(G140="","",E140*G140)</f>
        <v/>
      </c>
      <c r="I140" s="11" t="str">
        <f>HYPERLINK("https://optomposuda.ru/product/lanch-boks-bento-150-150-90","открыть")</f>
        <v>открыть</v>
      </c>
    </row>
    <row r="141" spans="1:9" x14ac:dyDescent="0.25">
      <c r="A141" t="s">
        <v>1026</v>
      </c>
      <c r="B141" t="s">
        <v>1027</v>
      </c>
      <c r="C141" t="s">
        <v>763</v>
      </c>
      <c r="D141" s="8">
        <v>24</v>
      </c>
      <c r="E141" s="9">
        <v>155.18</v>
      </c>
      <c r="F141" s="8">
        <v>488</v>
      </c>
      <c r="G141" s="10"/>
      <c r="H141" s="9" t="str">
        <f>IF(G141="","",E141*G141)</f>
        <v/>
      </c>
      <c r="I141" s="11" t="str">
        <f>HYPERLINK("https://optomposuda.ru/product/lotok-dlya-stolovyh-priborov-bolshoy-380h300h50","открыть")</f>
        <v>открыть</v>
      </c>
    </row>
    <row r="142" spans="1:9" x14ac:dyDescent="0.25">
      <c r="A142" t="s">
        <v>1028</v>
      </c>
      <c r="B142" t="s">
        <v>1029</v>
      </c>
      <c r="C142" t="s">
        <v>763</v>
      </c>
      <c r="D142" s="8">
        <v>36</v>
      </c>
      <c r="E142" s="9">
        <v>109.37</v>
      </c>
      <c r="F142" s="8">
        <v>95</v>
      </c>
      <c r="G142" s="10"/>
      <c r="H142" s="9" t="str">
        <f>IF(G142="","",E142*G142)</f>
        <v/>
      </c>
      <c r="I142" s="11" t="str">
        <f>HYPERLINK("https://optomposuda.ru/product/lotok-dlya-stolovyh-priborov-malyy-26h33-sm","открыть")</f>
        <v>открыть</v>
      </c>
    </row>
    <row r="143" spans="1:9" x14ac:dyDescent="0.25">
      <c r="A143" t="s">
        <v>1030</v>
      </c>
      <c r="B143" t="s">
        <v>1031</v>
      </c>
      <c r="C143" t="s">
        <v>763</v>
      </c>
      <c r="D143" s="8">
        <v>60</v>
      </c>
      <c r="E143" s="9">
        <v>41.89</v>
      </c>
      <c r="F143" s="8">
        <v>105</v>
      </c>
      <c r="G143" s="10"/>
      <c r="H143" s="9" t="str">
        <f>IF(G143="","",E143*G143)</f>
        <v/>
      </c>
      <c r="I143" s="11" t="str">
        <f>HYPERLINK("https://optomposuda.ru/product/lotok-pryamougolnyy-0-9-l-203h144h47","открыть")</f>
        <v>открыть</v>
      </c>
    </row>
    <row r="144" spans="1:9" x14ac:dyDescent="0.25">
      <c r="A144" t="s">
        <v>1032</v>
      </c>
      <c r="B144" t="s">
        <v>1033</v>
      </c>
      <c r="C144" t="s">
        <v>763</v>
      </c>
      <c r="D144" s="8">
        <v>48</v>
      </c>
      <c r="E144" s="9">
        <v>58.18</v>
      </c>
      <c r="F144" s="8">
        <v>419</v>
      </c>
      <c r="G144" s="10"/>
      <c r="H144" s="9" t="str">
        <f>IF(G144="","",E144*G144)</f>
        <v/>
      </c>
      <c r="I144" s="11" t="str">
        <f>HYPERLINK("https://optomposuda.ru/product/lotok-pryamougolnyy-1-7-l-252h176h55","открыть")</f>
        <v>открыть</v>
      </c>
    </row>
    <row r="145" spans="1:9" x14ac:dyDescent="0.25">
      <c r="A145" t="s">
        <v>1034</v>
      </c>
      <c r="B145" t="s">
        <v>1035</v>
      </c>
      <c r="C145" t="s">
        <v>763</v>
      </c>
      <c r="D145" s="8">
        <v>48</v>
      </c>
      <c r="E145" s="9">
        <v>89.6</v>
      </c>
      <c r="F145" s="8">
        <v>408</v>
      </c>
      <c r="G145" s="10"/>
      <c r="H145" s="9" t="str">
        <f>IF(G145="","",E145*G145)</f>
        <v/>
      </c>
      <c r="I145" s="11" t="str">
        <f>HYPERLINK("https://optomposuda.ru/product/lotok-pryamougolnyy-3-0-l-305h210h63","открыть")</f>
        <v>открыть</v>
      </c>
    </row>
    <row r="146" spans="1:9" x14ac:dyDescent="0.25">
      <c r="A146" t="s">
        <v>1036</v>
      </c>
      <c r="B146" t="s">
        <v>1037</v>
      </c>
      <c r="C146" t="s">
        <v>763</v>
      </c>
      <c r="D146" s="8">
        <v>48</v>
      </c>
      <c r="E146" s="9">
        <v>123.11</v>
      </c>
      <c r="F146" s="8">
        <v>516</v>
      </c>
      <c r="G146" s="10"/>
      <c r="H146" s="9" t="str">
        <f>IF(G146="","",E146*G146)</f>
        <v/>
      </c>
      <c r="I146" s="11" t="str">
        <f>HYPERLINK("https://optomposuda.ru/product/lotok-pryamougolnyy-4-5-l-355h250h73","открыть")</f>
        <v>открыть</v>
      </c>
    </row>
    <row r="147" spans="1:9" x14ac:dyDescent="0.25">
      <c r="A147" t="s">
        <v>1038</v>
      </c>
      <c r="B147" t="s">
        <v>1039</v>
      </c>
      <c r="C147" t="s">
        <v>763</v>
      </c>
      <c r="D147" s="8">
        <v>1</v>
      </c>
      <c r="E147" s="9">
        <v>123.87</v>
      </c>
      <c r="F147" s="8">
        <v>31</v>
      </c>
      <c r="G147" s="10"/>
      <c r="H147" s="9" t="str">
        <f>IF(G147="","",E147*G147)</f>
        <v/>
      </c>
      <c r="I147" s="11" t="str">
        <f>HYPERLINK("https://optomposuda.ru/product/nabor-konteynerov-layt-0-9l-kvadratnyy-0-9l-3sht","открыть")</f>
        <v>открыть</v>
      </c>
    </row>
    <row r="148" spans="1:9" x14ac:dyDescent="0.25">
      <c r="A148" t="s">
        <v>1040</v>
      </c>
      <c r="B148" t="s">
        <v>1041</v>
      </c>
      <c r="C148" t="s">
        <v>763</v>
      </c>
      <c r="D148" s="8">
        <v>1</v>
      </c>
      <c r="E148" s="9">
        <v>136.07</v>
      </c>
      <c r="F148" s="8">
        <v>24</v>
      </c>
      <c r="G148" s="10"/>
      <c r="H148" s="9" t="str">
        <f>IF(G148="","",E148*G148)</f>
        <v/>
      </c>
      <c r="I148" s="11" t="str">
        <f>HYPERLINK("https://optomposuda.ru/product/nabor-konteynerov-layt-0-9l-pryamougolnyy-0-9l-3sht","открыть")</f>
        <v>открыть</v>
      </c>
    </row>
    <row r="149" spans="1:9" x14ac:dyDescent="0.25">
      <c r="A149" t="s">
        <v>1042</v>
      </c>
      <c r="B149" t="s">
        <v>1043</v>
      </c>
      <c r="C149" t="s">
        <v>763</v>
      </c>
      <c r="D149" s="8">
        <v>1</v>
      </c>
      <c r="E149" s="9">
        <v>161.93</v>
      </c>
      <c r="F149" s="8">
        <v>48</v>
      </c>
      <c r="G149" s="10"/>
      <c r="H149" s="9" t="str">
        <f>IF(G149="","",E149*G149)</f>
        <v/>
      </c>
      <c r="I149" s="11" t="str">
        <f>HYPERLINK("https://optomposuda.ru/product/nabor-konteynerov-layt-1-2l-pryamougolnyy-1-2l-3sht","открыть")</f>
        <v>открыть</v>
      </c>
    </row>
    <row r="150" spans="1:9" x14ac:dyDescent="0.25">
      <c r="A150" t="s">
        <v>1044</v>
      </c>
      <c r="B150" t="s">
        <v>1045</v>
      </c>
      <c r="C150" t="s">
        <v>763</v>
      </c>
      <c r="D150" s="8">
        <v>1</v>
      </c>
      <c r="E150" s="9">
        <v>397.03</v>
      </c>
      <c r="F150" s="8">
        <v>3</v>
      </c>
      <c r="G150" s="10"/>
      <c r="H150" s="9" t="str">
        <f>IF(G150="","",E150*G150)</f>
        <v/>
      </c>
      <c r="I150" s="11" t="str">
        <f>HYPERLINK("https://optomposuda.ru/product/nabor-konteynerov-layt-dlya-sypuchih-produktov-2-l-3-l-5-l","открыть")</f>
        <v>открыть</v>
      </c>
    </row>
    <row r="151" spans="1:9" x14ac:dyDescent="0.25">
      <c r="A151" t="s">
        <v>1046</v>
      </c>
      <c r="B151" t="s">
        <v>1047</v>
      </c>
      <c r="C151" t="s">
        <v>763</v>
      </c>
      <c r="D151" s="8">
        <v>24</v>
      </c>
      <c r="E151" s="9">
        <v>136.07</v>
      </c>
      <c r="F151" s="8">
        <v>8</v>
      </c>
      <c r="G151" s="10"/>
      <c r="H151" s="9" t="str">
        <f>IF(G151="","",E151*G151)</f>
        <v/>
      </c>
      <c r="I151" s="11" t="str">
        <f>HYPERLINK("https://optomposuda.ru/product/nabor-konteynerov-pets-4sht-min-obem-0-05-l-max-obem-0-3-l-obsch-0-75-l-cveta-v-assortimen","открыть")</f>
        <v>открыть</v>
      </c>
    </row>
    <row r="152" spans="1:9" x14ac:dyDescent="0.25">
      <c r="A152" t="s">
        <v>1048</v>
      </c>
      <c r="B152" t="s">
        <v>1049</v>
      </c>
      <c r="C152" t="s">
        <v>763</v>
      </c>
      <c r="D152" s="8">
        <v>24</v>
      </c>
      <c r="E152" s="9">
        <v>126.56</v>
      </c>
      <c r="F152" s="8">
        <v>66</v>
      </c>
      <c r="G152" s="10"/>
      <c r="H152" s="9" t="str">
        <f>IF(G152="","",E152*G152)</f>
        <v/>
      </c>
      <c r="I152" s="11" t="str">
        <f>HYPERLINK("https://optomposuda.ru/product/podstavka-dlya-stolovyh-priborov","открыть")</f>
        <v>открыть</v>
      </c>
    </row>
    <row r="153" spans="1:9" x14ac:dyDescent="0.25">
      <c r="A153" t="s">
        <v>1050</v>
      </c>
      <c r="B153" t="s">
        <v>1051</v>
      </c>
      <c r="C153" t="s">
        <v>763</v>
      </c>
      <c r="D153" s="8">
        <v>90</v>
      </c>
      <c r="E153" s="9">
        <v>69.72</v>
      </c>
      <c r="F153" s="8">
        <v>96</v>
      </c>
      <c r="G153" s="10"/>
      <c r="H153" s="9" t="str">
        <f>IF(G153="","",E153*G153)</f>
        <v/>
      </c>
      <c r="I153" s="11" t="str">
        <f>HYPERLINK("https://optomposuda.ru/product/sovok-dlya-sypuchih-produktov-bolshoy-0-8-l","открыть")</f>
        <v>открыть</v>
      </c>
    </row>
    <row r="154" spans="1:9" x14ac:dyDescent="0.25">
      <c r="A154" t="s">
        <v>1052</v>
      </c>
      <c r="B154" t="s">
        <v>1053</v>
      </c>
      <c r="C154" t="s">
        <v>763</v>
      </c>
      <c r="D154" s="8">
        <v>120</v>
      </c>
      <c r="E154" s="9">
        <v>52.82</v>
      </c>
      <c r="F154" s="8">
        <v>10</v>
      </c>
      <c r="G154" s="10"/>
      <c r="H154" s="9" t="str">
        <f>IF(G154="","",E154*G154)</f>
        <v/>
      </c>
      <c r="I154" s="11" t="str">
        <f>HYPERLINK("https://optomposuda.ru/product/sovok-dlya-sypuchih-produktov-malyy-0-45-l","открыть")</f>
        <v>открыть</v>
      </c>
    </row>
    <row r="155" spans="1:9" x14ac:dyDescent="0.25">
      <c r="A155" t="s">
        <v>1054</v>
      </c>
      <c r="B155" t="s">
        <v>1055</v>
      </c>
      <c r="C155" t="s">
        <v>763</v>
      </c>
      <c r="D155" s="8">
        <v>40</v>
      </c>
      <c r="E155" s="9">
        <v>79.39</v>
      </c>
      <c r="F155" s="8">
        <v>29</v>
      </c>
      <c r="G155" s="10"/>
      <c r="H155" s="9" t="str">
        <f>IF(G155="","",E155*G155)</f>
        <v/>
      </c>
      <c r="I155" s="11" t="str">
        <f>HYPERLINK("https://optomposuda.ru/product/suharnica-razdole-280h220h100","открыть")</f>
        <v>открыть</v>
      </c>
    </row>
    <row r="156" spans="1:9" x14ac:dyDescent="0.25">
      <c r="A156" t="s">
        <v>1056</v>
      </c>
      <c r="B156" t="s">
        <v>1057</v>
      </c>
      <c r="C156" t="s">
        <v>763</v>
      </c>
      <c r="D156" s="8">
        <v>16</v>
      </c>
      <c r="E156" s="9">
        <v>295.75</v>
      </c>
      <c r="F156" s="8">
        <v>143</v>
      </c>
      <c r="G156" s="10"/>
      <c r="H156" s="9" t="str">
        <f>IF(G156="","",E156*G156)</f>
        <v/>
      </c>
      <c r="I156" s="11" t="str">
        <f>HYPERLINK("https://optomposuda.ru/product/sushilka-rondo-bolshaya-460h370h850","открыть")</f>
        <v>открыть</v>
      </c>
    </row>
    <row r="157" spans="1:9" x14ac:dyDescent="0.25">
      <c r="A157" t="s">
        <v>1058</v>
      </c>
      <c r="B157" t="s">
        <v>1059</v>
      </c>
      <c r="C157" t="s">
        <v>763</v>
      </c>
      <c r="D157" s="8">
        <v>20</v>
      </c>
      <c r="E157" s="9">
        <v>222.65</v>
      </c>
      <c r="F157" s="8">
        <v>154</v>
      </c>
      <c r="G157" s="10"/>
      <c r="H157" s="9" t="str">
        <f>IF(G157="","",E157*G157)</f>
        <v/>
      </c>
      <c r="I157" s="11" t="str">
        <f>HYPERLINK("https://optomposuda.ru/product/sushilka-rondo-malaya-410h290h85","открыть")</f>
        <v>открыть</v>
      </c>
    </row>
    <row r="158" spans="1:9" x14ac:dyDescent="0.25">
      <c r="A158" t="s">
        <v>1060</v>
      </c>
      <c r="B158" t="s">
        <v>1061</v>
      </c>
      <c r="C158" t="s">
        <v>763</v>
      </c>
      <c r="D158" s="8">
        <v>8</v>
      </c>
      <c r="E158" s="9">
        <v>598.23</v>
      </c>
      <c r="F158" s="8">
        <v>53</v>
      </c>
      <c r="G158" s="10"/>
      <c r="H158" s="9" t="str">
        <f>IF(G158="","",E158*G158)</f>
        <v/>
      </c>
      <c r="I158" s="11" t="str">
        <f>HYPERLINK("https://optomposuda.ru/product/sushilka-dlya-posudy-dvuhyarusnaya","открыть")</f>
        <v>открыть</v>
      </c>
    </row>
    <row r="159" spans="1:9" x14ac:dyDescent="0.25">
      <c r="A159" t="s">
        <v>1062</v>
      </c>
      <c r="B159" t="s">
        <v>1063</v>
      </c>
      <c r="C159" t="s">
        <v>763</v>
      </c>
      <c r="D159" s="8">
        <v>20</v>
      </c>
      <c r="E159" s="9">
        <v>256.39</v>
      </c>
      <c r="F159" s="8">
        <v>53</v>
      </c>
      <c r="G159" s="10"/>
      <c r="H159" s="9" t="str">
        <f>IF(G159="","",E159*G159)</f>
        <v/>
      </c>
      <c r="I159" s="11" t="str">
        <f>HYPERLINK("https://optomposuda.ru/product/sushilka-dlya-stakanov-bolshaya-444h20h350","открыть")</f>
        <v>открыть</v>
      </c>
    </row>
    <row r="160" spans="1:9" x14ac:dyDescent="0.25">
      <c r="A160" t="s">
        <v>1064</v>
      </c>
      <c r="B160" t="s">
        <v>1065</v>
      </c>
      <c r="C160" t="s">
        <v>763</v>
      </c>
      <c r="D160" s="8">
        <v>30</v>
      </c>
      <c r="E160" s="9">
        <v>140.79</v>
      </c>
      <c r="F160" s="8">
        <v>100</v>
      </c>
      <c r="G160" s="10"/>
      <c r="H160" s="9" t="str">
        <f>IF(G160="","",E160*G160)</f>
        <v/>
      </c>
      <c r="I160" s="11" t="str">
        <f>HYPERLINK("https://optomposuda.ru/product/sushilka-dlya-stakanov-malaya-407h16h223","открыть")</f>
        <v>открыть</v>
      </c>
    </row>
    <row r="161" spans="1:9" x14ac:dyDescent="0.25">
      <c r="A161" t="s">
        <v>1066</v>
      </c>
      <c r="B161" t="s">
        <v>1067</v>
      </c>
      <c r="C161" t="s">
        <v>763</v>
      </c>
      <c r="D161" s="8">
        <v>1</v>
      </c>
      <c r="E161" s="9">
        <v>75.35</v>
      </c>
      <c r="F161" s="8">
        <v>37</v>
      </c>
      <c r="G161" s="10"/>
      <c r="H161" s="9" t="str">
        <f>IF(G161="","",E161*G161)</f>
        <v/>
      </c>
      <c r="I161" s="11" t="str">
        <f>HYPERLINK("https://optomposuda.ru/product/forma-dlya-lda-almaz","открыть")</f>
        <v>открыть</v>
      </c>
    </row>
    <row r="162" spans="1:9" x14ac:dyDescent="0.25">
      <c r="A162" t="s">
        <v>1068</v>
      </c>
      <c r="B162" t="s">
        <v>1069</v>
      </c>
      <c r="C162" t="s">
        <v>763</v>
      </c>
      <c r="D162" s="8">
        <v>36</v>
      </c>
      <c r="E162" s="9">
        <v>115.83</v>
      </c>
      <c r="F162" s="8">
        <v>38</v>
      </c>
      <c r="G162" s="10"/>
      <c r="H162" s="9" t="str">
        <f>IF(G162="","",E162*G162)</f>
        <v/>
      </c>
      <c r="I162" s="11" t="str">
        <f>HYPERLINK("https://optomposuda.ru/product/forma-dlya-lda-diamond","открыть")</f>
        <v>открыть</v>
      </c>
    </row>
    <row r="163" spans="1:9" x14ac:dyDescent="0.25">
      <c r="A163" t="s">
        <v>1070</v>
      </c>
      <c r="B163" t="s">
        <v>1071</v>
      </c>
      <c r="C163" t="s">
        <v>763</v>
      </c>
      <c r="D163" s="8">
        <v>6</v>
      </c>
      <c r="E163" s="9">
        <v>376.71</v>
      </c>
      <c r="F163" s="8">
        <v>88</v>
      </c>
      <c r="G163" s="10"/>
      <c r="H163" s="9" t="str">
        <f>IF(G163="","",E163*G163)</f>
        <v/>
      </c>
      <c r="I163" s="11" t="str">
        <f>HYPERLINK("https://optomposuda.ru/product/hlebnica-kolosok-300h250h155","открыть")</f>
        <v>открыть</v>
      </c>
    </row>
    <row r="164" spans="1:9" x14ac:dyDescent="0.25">
      <c r="A164" t="s">
        <v>1072</v>
      </c>
      <c r="B164" t="s">
        <v>1073</v>
      </c>
      <c r="C164" t="s">
        <v>763</v>
      </c>
      <c r="D164" s="8">
        <v>4</v>
      </c>
      <c r="E164" s="9">
        <v>564.5</v>
      </c>
      <c r="F164" s="8">
        <v>73</v>
      </c>
      <c r="G164" s="10"/>
      <c r="H164" s="9" t="str">
        <f>IF(G164="","",E164*G164)</f>
        <v/>
      </c>
      <c r="I164" s="11" t="str">
        <f>HYPERLINK("https://optomposuda.ru/product/hlebnica-urozhay-415h275h190","открыть")</f>
        <v>открыть</v>
      </c>
    </row>
    <row r="165" spans="1:9" x14ac:dyDescent="0.25">
      <c r="A165" t="s">
        <v>1074</v>
      </c>
      <c r="B165" t="s">
        <v>1075</v>
      </c>
      <c r="C165" t="s">
        <v>763</v>
      </c>
      <c r="D165" s="8">
        <v>6</v>
      </c>
      <c r="E165" s="9">
        <v>551.01</v>
      </c>
      <c r="F165" s="8">
        <v>91</v>
      </c>
      <c r="G165" s="10"/>
      <c r="H165" s="9" t="str">
        <f>IF(G165="","",E165*G165)</f>
        <v/>
      </c>
      <c r="I165" s="11" t="str">
        <f>HYPERLINK("https://optomposuda.ru/product/hlebnica-elegance-430h270h190","открыть")</f>
        <v>открыть</v>
      </c>
    </row>
    <row r="166" spans="1:9" x14ac:dyDescent="0.25">
      <c r="A166" t="s">
        <v>1076</v>
      </c>
      <c r="B166" t="s">
        <v>1077</v>
      </c>
      <c r="C166" t="s">
        <v>763</v>
      </c>
      <c r="D166" s="8">
        <v>24</v>
      </c>
      <c r="E166" s="9">
        <v>241.77</v>
      </c>
      <c r="F166" s="8">
        <v>106</v>
      </c>
      <c r="G166" s="10"/>
      <c r="H166" s="9" t="str">
        <f>IF(G166="","",E166*G166)</f>
        <v/>
      </c>
      <c r="I166" s="11" t="str">
        <f>HYPERLINK("https://optomposuda.ru/product/hlebnica-nastolnaya-pletenka-320h230h145-plastik","открыть")</f>
        <v>открыть</v>
      </c>
    </row>
    <row r="167" spans="1:9" x14ac:dyDescent="0.25">
      <c r="A167" t="s">
        <v>1078</v>
      </c>
      <c r="B167" t="s">
        <v>1079</v>
      </c>
      <c r="C167" t="s">
        <v>763</v>
      </c>
      <c r="D167" s="8">
        <v>36</v>
      </c>
      <c r="E167" s="9">
        <v>66.73</v>
      </c>
      <c r="F167" s="8">
        <v>400</v>
      </c>
      <c r="G167" s="10"/>
      <c r="H167" s="9" t="str">
        <f>IF(G167="","",E167*G167)</f>
        <v/>
      </c>
      <c r="I167" s="11" t="str">
        <f>HYPERLINK("https://optomposuda.ru/product/schetka-dlya-mytya-butylok-ersh","открыть")</f>
        <v>открыть</v>
      </c>
    </row>
    <row r="168" spans="1:9" x14ac:dyDescent="0.25">
      <c r="A168" t="s">
        <v>1080</v>
      </c>
      <c r="B168" t="s">
        <v>1081</v>
      </c>
      <c r="C168" t="s">
        <v>763</v>
      </c>
      <c r="D168" s="8">
        <v>80</v>
      </c>
      <c r="E168" s="9">
        <v>58.68</v>
      </c>
      <c r="F168" s="8">
        <v>421</v>
      </c>
      <c r="G168" s="10"/>
      <c r="H168" s="9" t="str">
        <f>IF(G168="","",E168*G168)</f>
        <v/>
      </c>
      <c r="I168" s="11" t="str">
        <f>HYPERLINK("https://optomposuda.ru/product/schetka-dlya-mytya-posudy-blesk-kruglaya","открыть")</f>
        <v>открыть</v>
      </c>
    </row>
    <row r="169" spans="1:9" x14ac:dyDescent="0.25">
      <c r="A169" t="s">
        <v>1082</v>
      </c>
      <c r="B169" t="s">
        <v>1083</v>
      </c>
      <c r="C169" t="s">
        <v>763</v>
      </c>
      <c r="D169" s="8">
        <v>80</v>
      </c>
      <c r="E169" s="9">
        <v>62.13</v>
      </c>
      <c r="F169" s="8">
        <v>107</v>
      </c>
      <c r="G169" s="10"/>
      <c r="H169" s="9" t="str">
        <f>IF(G169="","",E169*G169)</f>
        <v/>
      </c>
      <c r="I169" s="11" t="str">
        <f>HYPERLINK("https://optomposuda.ru/product/schetka-dlya-mytya-posudy-blesk-pryamougolnaya","открыть")</f>
        <v>открыть</v>
      </c>
    </row>
    <row r="170" spans="1:9" x14ac:dyDescent="0.25">
      <c r="A170" t="s">
        <v>1084</v>
      </c>
      <c r="B170" t="s">
        <v>1085</v>
      </c>
      <c r="C170" t="s">
        <v>763</v>
      </c>
      <c r="D170" s="8">
        <v>40</v>
      </c>
      <c r="E170" s="9">
        <v>77.09</v>
      </c>
      <c r="F170" s="8">
        <v>147</v>
      </c>
      <c r="G170" s="10"/>
      <c r="H170" s="9" t="str">
        <f>IF(G170="","",E170*G170)</f>
        <v/>
      </c>
      <c r="I170" s="11" t="str">
        <f>HYPERLINK("https://optomposuda.ru/product/schetka-dlya-posudy-prestige","открыть")</f>
        <v>открыть</v>
      </c>
    </row>
    <row r="171" spans="1:9" x14ac:dyDescent="0.25">
      <c r="A171" s="7" t="s">
        <v>30</v>
      </c>
      <c r="B171" s="7"/>
      <c r="C171" s="7"/>
      <c r="D171" s="7"/>
      <c r="E171" s="7"/>
      <c r="F171" s="7"/>
      <c r="G171" s="7"/>
      <c r="H171" s="7"/>
      <c r="I171" s="7"/>
    </row>
    <row r="172" spans="1:9" x14ac:dyDescent="0.25">
      <c r="A172" t="s">
        <v>1086</v>
      </c>
      <c r="B172" t="s">
        <v>1087</v>
      </c>
      <c r="C172" t="s">
        <v>763</v>
      </c>
      <c r="D172" s="8">
        <v>1</v>
      </c>
      <c r="E172" s="9">
        <v>1731.51</v>
      </c>
      <c r="F172" s="8">
        <v>10</v>
      </c>
      <c r="G172" s="10"/>
      <c r="H172" s="9" t="str">
        <f>IF(G172="","",E172*G172)</f>
        <v/>
      </c>
      <c r="I172" s="11" t="str">
        <f>HYPERLINK("https://optomposuda.ru/product/komod-viola-3-h-sekcionnyy-39-h-39-h-63-5-sm","открыть")</f>
        <v>открыть</v>
      </c>
    </row>
    <row r="173" spans="1:9" x14ac:dyDescent="0.25">
      <c r="A173" t="s">
        <v>1088</v>
      </c>
      <c r="B173" t="s">
        <v>1089</v>
      </c>
      <c r="C173" t="s">
        <v>763</v>
      </c>
      <c r="D173" s="8">
        <v>1</v>
      </c>
      <c r="E173" s="9">
        <v>2347.96</v>
      </c>
      <c r="F173" s="8">
        <v>5</v>
      </c>
      <c r="G173" s="10"/>
      <c r="H173" s="9" t="str">
        <f>IF(G173="","",E173*G173)</f>
        <v/>
      </c>
      <c r="I173" s="11" t="str">
        <f>HYPERLINK("https://optomposuda.ru/product/komod-viola-4-h-sekcionnyy-39-h-39-h-82-5-sm","открыть")</f>
        <v>открыть</v>
      </c>
    </row>
    <row r="174" spans="1:9" x14ac:dyDescent="0.25">
      <c r="A174" t="s">
        <v>1090</v>
      </c>
      <c r="B174" t="s">
        <v>1091</v>
      </c>
      <c r="C174" t="s">
        <v>763</v>
      </c>
      <c r="D174" s="8">
        <v>1</v>
      </c>
      <c r="E174" s="9">
        <v>2243.38</v>
      </c>
      <c r="F174" s="8">
        <v>6</v>
      </c>
      <c r="G174" s="10"/>
      <c r="H174" s="9" t="str">
        <f>IF(G174="","",E174*G174)</f>
        <v/>
      </c>
      <c r="I174" s="11" t="str">
        <f>HYPERLINK("https://optomposuda.ru/product/komod-klassika-setka-4-h-sekcionnyy","открыть")</f>
        <v>открыть</v>
      </c>
    </row>
    <row r="175" spans="1:9" x14ac:dyDescent="0.25">
      <c r="A175" t="s">
        <v>1092</v>
      </c>
      <c r="B175" t="s">
        <v>1093</v>
      </c>
      <c r="C175" t="s">
        <v>763</v>
      </c>
      <c r="D175" s="8">
        <v>1</v>
      </c>
      <c r="E175" s="9">
        <v>1859.21</v>
      </c>
      <c r="F175" s="8">
        <v>8</v>
      </c>
      <c r="G175" s="10"/>
      <c r="H175" s="9" t="str">
        <f>IF(G175="","",E175*G175)</f>
        <v/>
      </c>
      <c r="I175" s="11" t="str">
        <f>HYPERLINK("https://optomposuda.ru/product/komod-elegance-mini","открыть")</f>
        <v>открыть</v>
      </c>
    </row>
    <row r="176" spans="1:9" x14ac:dyDescent="0.25">
      <c r="A176" t="s">
        <v>1094</v>
      </c>
      <c r="B176" t="s">
        <v>1095</v>
      </c>
      <c r="C176" t="s">
        <v>763</v>
      </c>
      <c r="D176" s="8">
        <v>1</v>
      </c>
      <c r="E176" s="9">
        <v>3397.43</v>
      </c>
      <c r="F176" s="8">
        <v>8</v>
      </c>
      <c r="G176" s="10"/>
      <c r="H176" s="9" t="str">
        <f>IF(G176="","",E176*G176)</f>
        <v/>
      </c>
      <c r="I176" s="11" t="str">
        <f>HYPERLINK("https://optomposuda.ru/product/komod-elegance-pryamougolnyy","открыть")</f>
        <v>открыть</v>
      </c>
    </row>
    <row r="177" spans="1:9" x14ac:dyDescent="0.25">
      <c r="A177" t="s">
        <v>1096</v>
      </c>
      <c r="B177" t="s">
        <v>1097</v>
      </c>
      <c r="C177" t="s">
        <v>763</v>
      </c>
      <c r="D177" s="8">
        <v>1</v>
      </c>
      <c r="E177" s="9">
        <v>2500.04</v>
      </c>
      <c r="F177" s="8">
        <v>11</v>
      </c>
      <c r="G177" s="10"/>
      <c r="H177" s="9" t="str">
        <f>IF(G177="","",E177*G177)</f>
        <v/>
      </c>
      <c r="I177" s="11" t="str">
        <f>HYPERLINK("https://optomposuda.ru/product/komod-13-s-risunkom-pitomcy","открыть")</f>
        <v>открыть</v>
      </c>
    </row>
    <row r="178" spans="1:9" x14ac:dyDescent="0.25">
      <c r="A178" t="s">
        <v>1098</v>
      </c>
      <c r="B178" t="s">
        <v>1099</v>
      </c>
      <c r="C178" t="s">
        <v>763</v>
      </c>
      <c r="D178" s="8">
        <v>1</v>
      </c>
      <c r="E178" s="9">
        <v>2500.04</v>
      </c>
      <c r="F178" s="8">
        <v>6</v>
      </c>
      <c r="G178" s="10"/>
      <c r="H178" s="9" t="str">
        <f>IF(G178="","",E178*G178)</f>
        <v/>
      </c>
      <c r="I178" s="11" t="str">
        <f>HYPERLINK("https://optomposuda.ru/product/komod-15-s-risunkom-orhideya","открыть")</f>
        <v>открыть</v>
      </c>
    </row>
    <row r="179" spans="1:9" x14ac:dyDescent="0.25">
      <c r="A179" t="s">
        <v>1100</v>
      </c>
      <c r="B179" t="s">
        <v>1101</v>
      </c>
      <c r="C179" t="s">
        <v>763</v>
      </c>
      <c r="D179" s="8">
        <v>1</v>
      </c>
      <c r="E179" s="9">
        <v>2320.69</v>
      </c>
      <c r="F179" s="8">
        <v>4</v>
      </c>
      <c r="G179" s="10"/>
      <c r="H179" s="9" t="str">
        <f>IF(G179="","",E179*G179)</f>
        <v/>
      </c>
      <c r="I179" s="11" t="str">
        <f>HYPERLINK("https://optomposuda.ru/product/komod-2-s-risunkom-alfavit-angliyskiy-400-480-981","открыть")</f>
        <v>открыть</v>
      </c>
    </row>
    <row r="180" spans="1:9" x14ac:dyDescent="0.25">
      <c r="A180" t="s">
        <v>1102</v>
      </c>
      <c r="B180" t="s">
        <v>1103</v>
      </c>
      <c r="C180" t="s">
        <v>763</v>
      </c>
      <c r="D180" s="8">
        <v>1</v>
      </c>
      <c r="E180" s="9">
        <v>2320.69</v>
      </c>
      <c r="F180" s="8">
        <v>4</v>
      </c>
      <c r="G180" s="10"/>
      <c r="H180" s="9" t="str">
        <f>IF(G180="","",E180*G180)</f>
        <v/>
      </c>
      <c r="I180" s="11" t="str">
        <f>HYPERLINK("https://optomposuda.ru/product/komod-3-s-risunkom-alfavit","открыть")</f>
        <v>открыть</v>
      </c>
    </row>
    <row r="181" spans="1:9" x14ac:dyDescent="0.25">
      <c r="A181" t="s">
        <v>1104</v>
      </c>
      <c r="B181" t="s">
        <v>1105</v>
      </c>
      <c r="C181" t="s">
        <v>763</v>
      </c>
      <c r="D181" s="8">
        <v>1</v>
      </c>
      <c r="E181" s="9">
        <v>2320.69</v>
      </c>
      <c r="F181" s="8">
        <v>10</v>
      </c>
      <c r="G181" s="10"/>
      <c r="H181" s="9" t="str">
        <f>IF(G181="","",E181*G181)</f>
        <v/>
      </c>
      <c r="I181" s="11" t="str">
        <f>HYPERLINK("https://optomposuda.ru/product/komod-5-s-risunkom-zamok","открыть")</f>
        <v>открыть</v>
      </c>
    </row>
    <row r="182" spans="1:9" x14ac:dyDescent="0.25">
      <c r="A182" t="s">
        <v>1106</v>
      </c>
      <c r="B182" t="s">
        <v>1107</v>
      </c>
      <c r="C182" t="s">
        <v>763</v>
      </c>
      <c r="D182" s="8">
        <v>1</v>
      </c>
      <c r="E182" s="9">
        <v>2614.47</v>
      </c>
      <c r="F182" s="8">
        <v>12</v>
      </c>
      <c r="G182" s="10"/>
      <c r="H182" s="9" t="str">
        <f>IF(G182="","",E182*G182)</f>
        <v/>
      </c>
      <c r="I182" s="11" t="str">
        <f>HYPERLINK("https://optomposuda.ru/product/komod-7-s-risunkom-sportivnaya-mashina","открыть")</f>
        <v>открыть</v>
      </c>
    </row>
    <row r="183" spans="1:9" x14ac:dyDescent="0.25">
      <c r="A183" t="s">
        <v>1108</v>
      </c>
      <c r="B183" t="s">
        <v>1109</v>
      </c>
      <c r="C183" t="s">
        <v>763</v>
      </c>
      <c r="D183" s="8">
        <v>1</v>
      </c>
      <c r="E183" s="9">
        <v>22147.13</v>
      </c>
      <c r="F183" s="8">
        <v>5</v>
      </c>
      <c r="G183" s="10"/>
      <c r="H183" s="9" t="str">
        <f>IF(G183="","",E183*G183)</f>
        <v/>
      </c>
      <c r="I183" s="11" t="str">
        <f>HYPERLINK("https://optomposuda.ru/product/komplekt-sadovoy-mebeli-holiday-hl","открыть")</f>
        <v>открыть</v>
      </c>
    </row>
    <row r="184" spans="1:9" x14ac:dyDescent="0.25">
      <c r="A184" t="s">
        <v>1110</v>
      </c>
      <c r="B184" t="s">
        <v>1111</v>
      </c>
      <c r="C184" t="s">
        <v>763</v>
      </c>
      <c r="D184" s="8">
        <v>1</v>
      </c>
      <c r="E184" s="9">
        <v>14381.25</v>
      </c>
      <c r="F184" s="8">
        <v>5</v>
      </c>
      <c r="G184" s="10"/>
      <c r="H184" s="9" t="str">
        <f>IF(G184="","",E184*G184)</f>
        <v/>
      </c>
      <c r="I184" s="11" t="str">
        <f>HYPERLINK("https://optomposuda.ru/product/komplekt-sadovoy-mebeli-holiday-l","открыть")</f>
        <v>открыть</v>
      </c>
    </row>
    <row r="185" spans="1:9" x14ac:dyDescent="0.25">
      <c r="A185" t="s">
        <v>1112</v>
      </c>
      <c r="B185" t="s">
        <v>1113</v>
      </c>
      <c r="C185" t="s">
        <v>763</v>
      </c>
      <c r="D185" s="8">
        <v>1</v>
      </c>
      <c r="E185" s="9">
        <v>774.33</v>
      </c>
      <c r="F185" s="8">
        <v>2</v>
      </c>
      <c r="G185" s="10"/>
      <c r="H185" s="9" t="str">
        <f>IF(G185="","",E185*G185)</f>
        <v/>
      </c>
      <c r="I185" s="11" t="str">
        <f>HYPERLINK("https://optomposuda.ru/product/kreslo-veneciya-belyy","открыть")</f>
        <v>открыть</v>
      </c>
    </row>
    <row r="186" spans="1:9" x14ac:dyDescent="0.25">
      <c r="A186" t="s">
        <v>1114</v>
      </c>
      <c r="B186" t="s">
        <v>1115</v>
      </c>
      <c r="C186" t="s">
        <v>763</v>
      </c>
      <c r="D186" s="8">
        <v>1</v>
      </c>
      <c r="E186" s="9">
        <v>819</v>
      </c>
      <c r="F186" s="8">
        <v>14</v>
      </c>
      <c r="G186" s="10"/>
      <c r="H186" s="9" t="str">
        <f>IF(G186="","",E186*G186)</f>
        <v/>
      </c>
      <c r="I186" s="11" t="str">
        <f>HYPERLINK("https://optomposuda.ru/product/kreslo-rivera-belyy","открыть")</f>
        <v>открыть</v>
      </c>
    </row>
    <row r="187" spans="1:9" x14ac:dyDescent="0.25">
      <c r="A187" t="s">
        <v>1114</v>
      </c>
      <c r="B187" t="s">
        <v>1116</v>
      </c>
      <c r="C187" t="s">
        <v>763</v>
      </c>
      <c r="D187" s="8">
        <v>1</v>
      </c>
      <c r="E187" s="9">
        <v>819</v>
      </c>
      <c r="F187" s="8">
        <v>13</v>
      </c>
      <c r="G187" s="10"/>
      <c r="H187" s="9" t="str">
        <f>IF(G187="","",E187*G187)</f>
        <v/>
      </c>
      <c r="I187" s="11" t="str">
        <f>HYPERLINK("https://optomposuda.ru/product/kreslo-rivera-krasnyy","открыть")</f>
        <v>открыть</v>
      </c>
    </row>
    <row r="188" spans="1:9" x14ac:dyDescent="0.25">
      <c r="A188" t="s">
        <v>1114</v>
      </c>
      <c r="B188" t="s">
        <v>1117</v>
      </c>
      <c r="C188" t="s">
        <v>763</v>
      </c>
      <c r="D188" s="8">
        <v>1</v>
      </c>
      <c r="E188" s="9">
        <v>819</v>
      </c>
      <c r="F188" s="8">
        <v>17</v>
      </c>
      <c r="G188" s="10"/>
      <c r="H188" s="9" t="str">
        <f>IF(G188="","",E188*G188)</f>
        <v/>
      </c>
      <c r="I188" s="11" t="str">
        <f>HYPERLINK("https://optomposuda.ru/product/kreslo-rivera-siniy","открыть")</f>
        <v>открыть</v>
      </c>
    </row>
    <row r="189" spans="1:9" x14ac:dyDescent="0.25">
      <c r="A189" t="s">
        <v>1118</v>
      </c>
      <c r="B189" t="s">
        <v>1119</v>
      </c>
      <c r="C189" t="s">
        <v>763</v>
      </c>
      <c r="D189" s="8">
        <v>4</v>
      </c>
      <c r="E189" s="9">
        <v>2172.53</v>
      </c>
      <c r="F189" s="8">
        <v>17</v>
      </c>
      <c r="G189" s="10"/>
      <c r="H189" s="9" t="str">
        <f>IF(G189="","",E189*G189)</f>
        <v/>
      </c>
      <c r="I189" s="11" t="str">
        <f>HYPERLINK("https://optomposuda.ru/product/kreslo-rodos-venge","открыть")</f>
        <v>открыть</v>
      </c>
    </row>
    <row r="190" spans="1:9" x14ac:dyDescent="0.25">
      <c r="A190" t="s">
        <v>1118</v>
      </c>
      <c r="B190" t="s">
        <v>1120</v>
      </c>
      <c r="C190" t="s">
        <v>763</v>
      </c>
      <c r="D190" s="8">
        <v>4</v>
      </c>
      <c r="E190" s="9">
        <v>2172.53</v>
      </c>
      <c r="F190" s="8">
        <v>21</v>
      </c>
      <c r="G190" s="10"/>
      <c r="H190" s="9" t="str">
        <f>IF(G190="","",E190*G190)</f>
        <v/>
      </c>
      <c r="I190" s="11" t="str">
        <f>HYPERLINK("https://optomposuda.ru/product/kreslo-rodos-sero-korichnevyy","открыть")</f>
        <v>открыть</v>
      </c>
    </row>
    <row r="191" spans="1:9" x14ac:dyDescent="0.25">
      <c r="A191" t="s">
        <v>1121</v>
      </c>
      <c r="B191" t="s">
        <v>1122</v>
      </c>
      <c r="C191" t="s">
        <v>763</v>
      </c>
      <c r="D191" s="8">
        <v>1</v>
      </c>
      <c r="E191" s="9">
        <v>680.82</v>
      </c>
      <c r="F191" s="8">
        <v>4</v>
      </c>
      <c r="G191" s="10"/>
      <c r="H191" s="9" t="str">
        <f>IF(G191="","",E191*G191)</f>
        <v/>
      </c>
      <c r="I191" s="11" t="str">
        <f>HYPERLINK("https://optomposuda.ru/product/kreslo-tropic-rotang-krasnyy","открыть")</f>
        <v>открыть</v>
      </c>
    </row>
    <row r="192" spans="1:9" x14ac:dyDescent="0.25">
      <c r="A192" t="s">
        <v>1123</v>
      </c>
      <c r="B192" t="s">
        <v>1124</v>
      </c>
      <c r="C192" t="s">
        <v>763</v>
      </c>
      <c r="D192" s="8">
        <v>8</v>
      </c>
      <c r="E192" s="9">
        <v>436.87</v>
      </c>
      <c r="F192" s="8">
        <v>16</v>
      </c>
      <c r="G192" s="10"/>
      <c r="H192" s="9" t="str">
        <f>IF(G192="","",E192*G192)</f>
        <v/>
      </c>
      <c r="I192" s="11" t="str">
        <f>HYPERLINK("https://optomposuda.ru/product/organayzer-mini-box-3-h-sekcionnyy-250h195h265","открыть")</f>
        <v>открыть</v>
      </c>
    </row>
    <row r="193" spans="1:9" x14ac:dyDescent="0.25">
      <c r="A193" t="s">
        <v>1125</v>
      </c>
      <c r="B193" t="s">
        <v>1126</v>
      </c>
      <c r="C193" t="s">
        <v>763</v>
      </c>
      <c r="D193" s="8">
        <v>1</v>
      </c>
      <c r="E193" s="9">
        <v>4715.74</v>
      </c>
      <c r="F193" s="8">
        <v>4</v>
      </c>
      <c r="G193" s="10"/>
      <c r="H193" s="9" t="str">
        <f>IF(G193="","",E193*G193)</f>
        <v/>
      </c>
      <c r="I193" s="11" t="str">
        <f>HYPERLINK("https://optomposuda.ru/product/stol-antaliya-bezhevyy-140h80-sm","открыть")</f>
        <v>открыть</v>
      </c>
    </row>
    <row r="194" spans="1:9" x14ac:dyDescent="0.25">
      <c r="A194" t="s">
        <v>1125</v>
      </c>
      <c r="B194" t="s">
        <v>1127</v>
      </c>
      <c r="C194" t="s">
        <v>763</v>
      </c>
      <c r="D194" s="8">
        <v>1</v>
      </c>
      <c r="E194" s="9">
        <v>4715.74</v>
      </c>
      <c r="F194" s="8">
        <v>3</v>
      </c>
      <c r="G194" s="10"/>
      <c r="H194" s="9" t="str">
        <f>IF(G194="","",E194*G194)</f>
        <v/>
      </c>
      <c r="I194" s="11" t="str">
        <f>HYPERLINK("https://optomposuda.ru/product/stol-antaliya-belyy-140h80-sm","открыть")</f>
        <v>открыть</v>
      </c>
    </row>
    <row r="195" spans="1:9" x14ac:dyDescent="0.25">
      <c r="A195" t="s">
        <v>1128</v>
      </c>
      <c r="B195" t="s">
        <v>1129</v>
      </c>
      <c r="C195" t="s">
        <v>763</v>
      </c>
      <c r="D195" s="8">
        <v>1</v>
      </c>
      <c r="E195" s="9">
        <v>1389.8</v>
      </c>
      <c r="F195" s="8">
        <v>8</v>
      </c>
      <c r="G195" s="10"/>
      <c r="H195" s="9" t="str">
        <f>IF(G195="","",E195*G195)</f>
        <v/>
      </c>
      <c r="I195" s="11" t="str">
        <f>HYPERLINK("https://optomposuda.ru/product/stol-verona-kvadratnyy-80h80-sm-bezhevyy","открыть")</f>
        <v>открыть</v>
      </c>
    </row>
    <row r="196" spans="1:9" x14ac:dyDescent="0.25">
      <c r="A196" t="s">
        <v>1128</v>
      </c>
      <c r="B196" t="s">
        <v>1130</v>
      </c>
      <c r="C196" t="s">
        <v>763</v>
      </c>
      <c r="D196" s="8">
        <v>1</v>
      </c>
      <c r="E196" s="9">
        <v>1389.8</v>
      </c>
      <c r="F196" s="8">
        <v>18</v>
      </c>
      <c r="G196" s="10"/>
      <c r="H196" s="9" t="str">
        <f>IF(G196="","",E196*G196)</f>
        <v/>
      </c>
      <c r="I196" s="11" t="str">
        <f>HYPERLINK("https://optomposuda.ru/product/stol-verona-kvadratnyy-80h80-sm-belyy","открыть")</f>
        <v>открыть</v>
      </c>
    </row>
    <row r="197" spans="1:9" x14ac:dyDescent="0.25">
      <c r="A197" t="s">
        <v>1128</v>
      </c>
      <c r="B197" t="s">
        <v>1131</v>
      </c>
      <c r="C197" t="s">
        <v>763</v>
      </c>
      <c r="D197" s="8">
        <v>1</v>
      </c>
      <c r="E197" s="9">
        <v>1409.17</v>
      </c>
      <c r="F197" s="8">
        <v>8</v>
      </c>
      <c r="G197" s="10"/>
      <c r="H197" s="9" t="str">
        <f>IF(G197="","",E197*G197)</f>
        <v/>
      </c>
      <c r="I197" s="11" t="str">
        <f>HYPERLINK("https://optomposuda.ru/product/stol-verona-kvadratnyy-80h80-sm-zelenyy","открыть")</f>
        <v>открыть</v>
      </c>
    </row>
    <row r="198" spans="1:9" x14ac:dyDescent="0.25">
      <c r="A198" t="s">
        <v>1128</v>
      </c>
      <c r="B198" t="s">
        <v>1132</v>
      </c>
      <c r="C198" t="s">
        <v>763</v>
      </c>
      <c r="D198" s="8">
        <v>1</v>
      </c>
      <c r="E198" s="9">
        <v>1389.8</v>
      </c>
      <c r="F198" s="8">
        <v>14</v>
      </c>
      <c r="G198" s="10"/>
      <c r="H198" s="9" t="str">
        <f>IF(G198="","",E198*G198)</f>
        <v/>
      </c>
      <c r="I198" s="11" t="str">
        <f>HYPERLINK("https://optomposuda.ru/product/stol-verona-kvadratnyy-80h80-sm-krasnyy","открыть")</f>
        <v>открыть</v>
      </c>
    </row>
    <row r="199" spans="1:9" x14ac:dyDescent="0.25">
      <c r="A199" t="s">
        <v>1128</v>
      </c>
      <c r="B199" t="s">
        <v>1133</v>
      </c>
      <c r="C199" t="s">
        <v>763</v>
      </c>
      <c r="D199" s="8">
        <v>1</v>
      </c>
      <c r="E199" s="9">
        <v>1389.8</v>
      </c>
      <c r="F199" s="8">
        <v>11</v>
      </c>
      <c r="G199" s="10"/>
      <c r="H199" s="9" t="str">
        <f>IF(G199="","",E199*G199)</f>
        <v/>
      </c>
      <c r="I199" s="11" t="str">
        <f>HYPERLINK("https://optomposuda.ru/product/stol-verona-kvadratnyy-80h80-sm-siniy","открыть")</f>
        <v>открыть</v>
      </c>
    </row>
    <row r="200" spans="1:9" x14ac:dyDescent="0.25">
      <c r="A200" t="s">
        <v>1134</v>
      </c>
      <c r="B200" t="s">
        <v>1135</v>
      </c>
      <c r="C200" t="s">
        <v>763</v>
      </c>
      <c r="D200" s="8">
        <v>1</v>
      </c>
      <c r="E200" s="9">
        <v>3188.87</v>
      </c>
      <c r="F200" s="8">
        <v>9</v>
      </c>
      <c r="G200" s="10"/>
      <c r="H200" s="9" t="str">
        <f>IF(G200="","",E200*G200)</f>
        <v/>
      </c>
      <c r="I200" s="11" t="str">
        <f>HYPERLINK("https://optomposuda.ru/product/stol-verona-ovalnyy-140-80-sm-bezhevyy","открыть")</f>
        <v>открыть</v>
      </c>
    </row>
    <row r="201" spans="1:9" x14ac:dyDescent="0.25">
      <c r="A201" t="s">
        <v>1134</v>
      </c>
      <c r="B201" t="s">
        <v>1136</v>
      </c>
      <c r="C201" t="s">
        <v>763</v>
      </c>
      <c r="D201" s="8">
        <v>1</v>
      </c>
      <c r="E201" s="9">
        <v>3188.87</v>
      </c>
      <c r="F201" s="8">
        <v>26</v>
      </c>
      <c r="G201" s="10"/>
      <c r="H201" s="9" t="str">
        <f>IF(G201="","",E201*G201)</f>
        <v/>
      </c>
      <c r="I201" s="11" t="str">
        <f>HYPERLINK("https://optomposuda.ru/product/stol-verona-ovalnyy-140-80-sm-belyy","открыть")</f>
        <v>открыть</v>
      </c>
    </row>
    <row r="202" spans="1:9" x14ac:dyDescent="0.25">
      <c r="A202" t="s">
        <v>1134</v>
      </c>
      <c r="B202" t="s">
        <v>1137</v>
      </c>
      <c r="C202" t="s">
        <v>763</v>
      </c>
      <c r="D202" s="8">
        <v>1</v>
      </c>
      <c r="E202" s="9">
        <v>3188.87</v>
      </c>
      <c r="F202" s="8">
        <v>2</v>
      </c>
      <c r="G202" s="10"/>
      <c r="H202" s="9" t="str">
        <f>IF(G202="","",E202*G202)</f>
        <v/>
      </c>
      <c r="I202" s="11" t="str">
        <f>HYPERLINK("https://optomposuda.ru/product/stol-verona-ovalnyy-140-80-sm-krasnyy","открыть")</f>
        <v>открыть</v>
      </c>
    </row>
    <row r="203" spans="1:9" x14ac:dyDescent="0.25">
      <c r="A203" t="s">
        <v>1134</v>
      </c>
      <c r="B203" t="s">
        <v>1138</v>
      </c>
      <c r="C203" t="s">
        <v>763</v>
      </c>
      <c r="D203" s="8">
        <v>1</v>
      </c>
      <c r="E203" s="9">
        <v>3188.87</v>
      </c>
      <c r="F203" s="8">
        <v>3</v>
      </c>
      <c r="G203" s="10"/>
      <c r="H203" s="9" t="str">
        <f>IF(G203="","",E203*G203)</f>
        <v/>
      </c>
      <c r="I203" s="11" t="str">
        <f>HYPERLINK("https://optomposuda.ru/product/stol-verona-ovalnyy-140-80-sm-siniy","открыть")</f>
        <v>открыть</v>
      </c>
    </row>
    <row r="204" spans="1:9" x14ac:dyDescent="0.25">
      <c r="A204" t="s">
        <v>1139</v>
      </c>
      <c r="B204" t="s">
        <v>1140</v>
      </c>
      <c r="C204" t="s">
        <v>763</v>
      </c>
      <c r="D204" s="8">
        <v>1</v>
      </c>
      <c r="E204" s="9">
        <v>7495.79</v>
      </c>
      <c r="F204" s="8">
        <v>4</v>
      </c>
      <c r="G204" s="10"/>
      <c r="H204" s="9" t="str">
        <f>IF(G204="","",E204*G204)</f>
        <v/>
      </c>
      <c r="I204" s="11" t="str">
        <f>HYPERLINK("https://optomposuda.ru/product/stol-palermo-pryamougolnyy-1645x930x740-grafitovyy","открыть")</f>
        <v>открыть</v>
      </c>
    </row>
    <row r="205" spans="1:9" x14ac:dyDescent="0.25">
      <c r="A205" t="s">
        <v>1141</v>
      </c>
      <c r="B205" t="s">
        <v>1142</v>
      </c>
      <c r="C205" t="s">
        <v>763</v>
      </c>
      <c r="D205" s="8">
        <v>1</v>
      </c>
      <c r="E205" s="9">
        <v>3747.89</v>
      </c>
      <c r="F205" s="8">
        <v>1</v>
      </c>
      <c r="G205" s="10"/>
      <c r="H205" s="9" t="str">
        <f>IF(G205="","",E205*G205)</f>
        <v/>
      </c>
      <c r="I205" s="11" t="str">
        <f>HYPERLINK("https://optomposuda.ru/product/stol-rodos-kvadratnyy-sero-korichnevyy-815h815h750","открыть")</f>
        <v>открыть</v>
      </c>
    </row>
    <row r="206" spans="1:9" x14ac:dyDescent="0.25">
      <c r="A206" t="s">
        <v>1143</v>
      </c>
      <c r="B206" t="s">
        <v>1144</v>
      </c>
      <c r="C206" t="s">
        <v>763</v>
      </c>
      <c r="D206" s="8">
        <v>1</v>
      </c>
      <c r="E206" s="9">
        <v>3660.67</v>
      </c>
      <c r="F206" s="8">
        <v>1</v>
      </c>
      <c r="G206" s="10"/>
      <c r="H206" s="9" t="str">
        <f>IF(G206="","",E206*G206)</f>
        <v/>
      </c>
      <c r="I206" s="11" t="str">
        <f>HYPERLINK("https://optomposuda.ru/product/stol-rodos-kvadratnyy-sero-korichnevyy-950h950h750","открыть")</f>
        <v>открыть</v>
      </c>
    </row>
    <row r="207" spans="1:9" x14ac:dyDescent="0.25">
      <c r="A207" t="s">
        <v>1145</v>
      </c>
      <c r="B207" t="s">
        <v>1146</v>
      </c>
      <c r="C207" t="s">
        <v>763</v>
      </c>
      <c r="D207" s="8">
        <v>1</v>
      </c>
      <c r="E207" s="9">
        <v>7733.75</v>
      </c>
      <c r="F207" s="8">
        <v>9</v>
      </c>
      <c r="G207" s="10"/>
      <c r="H207" s="9" t="str">
        <f>IF(G207="","",E207*G207)</f>
        <v/>
      </c>
      <c r="I207" s="11" t="str">
        <f>HYPERLINK("https://optomposuda.ru/product/stol-rodos-pryamougolnyy-venge-1605h945h750","открыть")</f>
        <v>открыть</v>
      </c>
    </row>
    <row r="208" spans="1:9" x14ac:dyDescent="0.25">
      <c r="A208" t="s">
        <v>1147</v>
      </c>
      <c r="B208" t="s">
        <v>1148</v>
      </c>
      <c r="C208" t="s">
        <v>763</v>
      </c>
      <c r="D208" s="8">
        <v>1</v>
      </c>
      <c r="E208" s="9">
        <v>2588.52</v>
      </c>
      <c r="F208" s="8">
        <v>13</v>
      </c>
      <c r="G208" s="10"/>
      <c r="H208" s="9" t="str">
        <f>IF(G208="","",E208*G208)</f>
        <v/>
      </c>
      <c r="I208" s="11" t="str">
        <f>HYPERLINK("https://optomposuda.ru/product/stol-rodos-s-dekorom-korichnevyy-815h815h750","открыть")</f>
        <v>открыть</v>
      </c>
    </row>
    <row r="209" spans="1:9" x14ac:dyDescent="0.25">
      <c r="A209" t="s">
        <v>1149</v>
      </c>
      <c r="B209" t="s">
        <v>1150</v>
      </c>
      <c r="C209" t="s">
        <v>763</v>
      </c>
      <c r="D209" s="8">
        <v>1</v>
      </c>
      <c r="E209" s="9">
        <v>1619.61</v>
      </c>
      <c r="F209" s="8">
        <v>11</v>
      </c>
      <c r="G209" s="10"/>
      <c r="H209" s="9" t="str">
        <f>IF(G209="","",E209*G209)</f>
        <v/>
      </c>
      <c r="I209" s="11" t="str">
        <f>HYPERLINK("https://optomposuda.ru/product/stol-kvadratnyy-70-sm-bezhevyy","открыть")</f>
        <v>открыть</v>
      </c>
    </row>
    <row r="210" spans="1:9" x14ac:dyDescent="0.25">
      <c r="A210" t="s">
        <v>1149</v>
      </c>
      <c r="B210" t="s">
        <v>1151</v>
      </c>
      <c r="C210" t="s">
        <v>763</v>
      </c>
      <c r="D210" s="8">
        <v>1</v>
      </c>
      <c r="E210" s="9">
        <v>1619.61</v>
      </c>
      <c r="F210" s="8">
        <v>9</v>
      </c>
      <c r="G210" s="10"/>
      <c r="H210" s="9" t="str">
        <f>IF(G210="","",E210*G210)</f>
        <v/>
      </c>
      <c r="I210" s="11" t="str">
        <f>HYPERLINK("https://optomposuda.ru/product/stol-kvadratnyy-70-sm-belyy","открыть")</f>
        <v>открыть</v>
      </c>
    </row>
    <row r="211" spans="1:9" x14ac:dyDescent="0.25">
      <c r="A211" t="s">
        <v>1149</v>
      </c>
      <c r="B211" t="s">
        <v>1152</v>
      </c>
      <c r="C211" t="s">
        <v>763</v>
      </c>
      <c r="D211" s="8">
        <v>1</v>
      </c>
      <c r="E211" s="9">
        <v>1619.61</v>
      </c>
      <c r="F211" s="8">
        <v>27</v>
      </c>
      <c r="G211" s="10"/>
      <c r="H211" s="9" t="str">
        <f>IF(G211="","",E211*G211)</f>
        <v/>
      </c>
      <c r="I211" s="11" t="str">
        <f>HYPERLINK("https://optomposuda.ru/product/stol-kvadratnyy-70-sm-zelenyy","открыть")</f>
        <v>открыть</v>
      </c>
    </row>
    <row r="212" spans="1:9" x14ac:dyDescent="0.25">
      <c r="A212" t="s">
        <v>1149</v>
      </c>
      <c r="B212" t="s">
        <v>1153</v>
      </c>
      <c r="C212" t="s">
        <v>763</v>
      </c>
      <c r="D212" s="8">
        <v>1</v>
      </c>
      <c r="E212" s="9">
        <v>1619.61</v>
      </c>
      <c r="F212" s="8">
        <v>19</v>
      </c>
      <c r="G212" s="10"/>
      <c r="H212" s="9" t="str">
        <f>IF(G212="","",E212*G212)</f>
        <v/>
      </c>
      <c r="I212" s="11" t="str">
        <f>HYPERLINK("https://optomposuda.ru/product/stol-kvadratnyy-70-sm-krasnyy","открыть")</f>
        <v>открыть</v>
      </c>
    </row>
    <row r="213" spans="1:9" x14ac:dyDescent="0.25">
      <c r="A213" t="s">
        <v>1149</v>
      </c>
      <c r="B213" t="s">
        <v>1154</v>
      </c>
      <c r="C213" t="s">
        <v>763</v>
      </c>
      <c r="D213" s="8">
        <v>1</v>
      </c>
      <c r="E213" s="9">
        <v>1619.61</v>
      </c>
      <c r="F213" s="8">
        <v>46</v>
      </c>
      <c r="G213" s="10"/>
      <c r="H213" s="9" t="str">
        <f>IF(G213="","",E213*G213)</f>
        <v/>
      </c>
      <c r="I213" s="11" t="str">
        <f>HYPERLINK("https://optomposuda.ru/product/stol-kvadratnyy-70-sm-siniy","открыть")</f>
        <v>открыть</v>
      </c>
    </row>
    <row r="214" spans="1:9" x14ac:dyDescent="0.25">
      <c r="A214" t="s">
        <v>1155</v>
      </c>
      <c r="B214" t="s">
        <v>1156</v>
      </c>
      <c r="C214" t="s">
        <v>763</v>
      </c>
      <c r="D214" s="8">
        <v>1</v>
      </c>
      <c r="E214" s="9">
        <v>1932.95</v>
      </c>
      <c r="F214" s="8">
        <v>27</v>
      </c>
      <c r="G214" s="10"/>
      <c r="H214" s="9" t="str">
        <f>IF(G214="","",E214*G214)</f>
        <v/>
      </c>
      <c r="I214" s="11" t="str">
        <f>HYPERLINK("https://optomposuda.ru/product/stol-kruglyy-80-sm-bezhevyy","открыть")</f>
        <v>открыть</v>
      </c>
    </row>
    <row r="215" spans="1:9" x14ac:dyDescent="0.25">
      <c r="A215" t="s">
        <v>1155</v>
      </c>
      <c r="B215" t="s">
        <v>1157</v>
      </c>
      <c r="C215" t="s">
        <v>763</v>
      </c>
      <c r="D215" s="8">
        <v>1</v>
      </c>
      <c r="E215" s="9">
        <v>1757.12</v>
      </c>
      <c r="F215" s="8">
        <v>15</v>
      </c>
      <c r="G215" s="10"/>
      <c r="H215" s="9" t="str">
        <f>IF(G215="","",E215*G215)</f>
        <v/>
      </c>
      <c r="I215" s="11" t="str">
        <f>HYPERLINK("https://optomposuda.ru/product/stol-kruglyy-80-sm-belyy","открыть")</f>
        <v>открыть</v>
      </c>
    </row>
    <row r="216" spans="1:9" x14ac:dyDescent="0.25">
      <c r="A216" t="s">
        <v>1155</v>
      </c>
      <c r="B216" t="s">
        <v>1158</v>
      </c>
      <c r="C216" t="s">
        <v>763</v>
      </c>
      <c r="D216" s="8">
        <v>1</v>
      </c>
      <c r="E216" s="9">
        <v>1932.95</v>
      </c>
      <c r="F216" s="8">
        <v>28</v>
      </c>
      <c r="G216" s="10"/>
      <c r="H216" s="9" t="str">
        <f>IF(G216="","",E216*G216)</f>
        <v/>
      </c>
      <c r="I216" s="11" t="str">
        <f>HYPERLINK("https://optomposuda.ru/product/stol-kruglyy-80-sm-zelenyy","открыть")</f>
        <v>открыть</v>
      </c>
    </row>
    <row r="217" spans="1:9" x14ac:dyDescent="0.25">
      <c r="A217" t="s">
        <v>1155</v>
      </c>
      <c r="B217" t="s">
        <v>1159</v>
      </c>
      <c r="C217" t="s">
        <v>763</v>
      </c>
      <c r="D217" s="8">
        <v>1</v>
      </c>
      <c r="E217" s="9">
        <v>1757.12</v>
      </c>
      <c r="F217" s="8">
        <v>22</v>
      </c>
      <c r="G217" s="10"/>
      <c r="H217" s="9" t="str">
        <f>IF(G217="","",E217*G217)</f>
        <v/>
      </c>
      <c r="I217" s="11" t="str">
        <f>HYPERLINK("https://optomposuda.ru/product/stol-kruglyy-80-sm-krasnyy","открыть")</f>
        <v>открыть</v>
      </c>
    </row>
    <row r="218" spans="1:9" x14ac:dyDescent="0.25">
      <c r="A218" t="s">
        <v>1155</v>
      </c>
      <c r="B218" t="s">
        <v>1160</v>
      </c>
      <c r="C218" t="s">
        <v>763</v>
      </c>
      <c r="D218" s="8">
        <v>1</v>
      </c>
      <c r="E218" s="9">
        <v>1757.12</v>
      </c>
      <c r="F218" s="8">
        <v>22</v>
      </c>
      <c r="G218" s="10"/>
      <c r="H218" s="9" t="str">
        <f>IF(G218="","",E218*G218)</f>
        <v/>
      </c>
      <c r="I218" s="11" t="str">
        <f>HYPERLINK("https://optomposuda.ru/product/stol-kruglyy-80-sm-siniy","открыть")</f>
        <v>открыть</v>
      </c>
    </row>
    <row r="219" spans="1:9" x14ac:dyDescent="0.25">
      <c r="A219" t="s">
        <v>1161</v>
      </c>
      <c r="B219" t="s">
        <v>1162</v>
      </c>
      <c r="C219" t="s">
        <v>763</v>
      </c>
      <c r="D219" s="8">
        <v>1</v>
      </c>
      <c r="E219" s="9">
        <v>850.12</v>
      </c>
      <c r="F219" s="8">
        <v>1</v>
      </c>
      <c r="G219" s="10"/>
      <c r="H219" s="9" t="str">
        <f>IF(G219="","",E219*G219)</f>
        <v/>
      </c>
      <c r="I219" s="11" t="str">
        <f>HYPERLINK("https://optomposuda.ru/product/stolik-dlya-shezlonga-aqua-405h405h348-belyy","открыть")</f>
        <v>открыть</v>
      </c>
    </row>
    <row r="220" spans="1:9" x14ac:dyDescent="0.25">
      <c r="A220" t="s">
        <v>1163</v>
      </c>
      <c r="B220" t="s">
        <v>1164</v>
      </c>
      <c r="C220" t="s">
        <v>763</v>
      </c>
      <c r="D220" s="8">
        <v>18</v>
      </c>
      <c r="E220" s="9">
        <v>259.76</v>
      </c>
      <c r="F220" s="8">
        <v>82</v>
      </c>
      <c r="G220" s="10"/>
      <c r="H220" s="9" t="str">
        <f>IF(G220="","",E220*G220)</f>
        <v/>
      </c>
      <c r="I220" s="11" t="str">
        <f>HYPERLINK("https://optomposuda.ru/product/taburet-alfavit-skladnoy-detskiy","открыть")</f>
        <v>открыть</v>
      </c>
    </row>
    <row r="221" spans="1:9" x14ac:dyDescent="0.25">
      <c r="A221" t="s">
        <v>1165</v>
      </c>
      <c r="B221" t="s">
        <v>1166</v>
      </c>
      <c r="C221" t="s">
        <v>763</v>
      </c>
      <c r="D221" s="8">
        <v>20</v>
      </c>
      <c r="E221" s="9">
        <v>183.77</v>
      </c>
      <c r="F221" s="8">
        <v>20</v>
      </c>
      <c r="G221" s="10"/>
      <c r="H221" s="9" t="str">
        <f>IF(G221="","",E221*G221)</f>
        <v/>
      </c>
      <c r="I221" s="11" t="str">
        <f>HYPERLINK("https://optomposuda.ru/product/taburet-penek-detskiy-s-risunkom","открыть")</f>
        <v>открыть</v>
      </c>
    </row>
    <row r="222" spans="1:9" x14ac:dyDescent="0.25">
      <c r="A222" t="s">
        <v>1167</v>
      </c>
      <c r="B222" t="s">
        <v>1168</v>
      </c>
      <c r="C222" t="s">
        <v>763</v>
      </c>
      <c r="D222" s="8">
        <v>1</v>
      </c>
      <c r="E222" s="9">
        <v>487.81</v>
      </c>
      <c r="F222" s="8">
        <v>33</v>
      </c>
      <c r="G222" s="10"/>
      <c r="H222" s="9" t="str">
        <f>IF(G222="","",E222*G222)</f>
        <v/>
      </c>
      <c r="I222" s="11" t="str">
        <f>HYPERLINK("https://optomposuda.ru/product/taburet-rotang-bolshoy","открыть")</f>
        <v>открыть</v>
      </c>
    </row>
    <row r="223" spans="1:9" x14ac:dyDescent="0.25">
      <c r="A223" t="s">
        <v>1169</v>
      </c>
      <c r="B223" t="s">
        <v>1170</v>
      </c>
      <c r="C223" t="s">
        <v>763</v>
      </c>
      <c r="D223" s="8">
        <v>1</v>
      </c>
      <c r="E223" s="9">
        <v>356.95</v>
      </c>
      <c r="F223" s="8">
        <v>51</v>
      </c>
      <c r="G223" s="10"/>
      <c r="H223" s="9" t="str">
        <f>IF(G223="","",E223*G223)</f>
        <v/>
      </c>
      <c r="I223" s="11" t="str">
        <f>HYPERLINK("https://optomposuda.ru/product/taburet-rotang-malyy","открыть")</f>
        <v>открыть</v>
      </c>
    </row>
    <row r="224" spans="1:9" x14ac:dyDescent="0.25">
      <c r="A224" t="s">
        <v>1171</v>
      </c>
      <c r="B224" t="s">
        <v>1172</v>
      </c>
      <c r="C224" t="s">
        <v>763</v>
      </c>
      <c r="D224" s="8">
        <v>10</v>
      </c>
      <c r="E224" s="9">
        <v>739.92</v>
      </c>
      <c r="F224" s="8">
        <v>579</v>
      </c>
      <c r="G224" s="10"/>
      <c r="H224" s="9" t="str">
        <f>IF(G224="","",E224*G224)</f>
        <v/>
      </c>
      <c r="I224" s="11" t="str">
        <f>HYPERLINK("https://optomposuda.ru/product/taburet-skladnoy-multistul-bolshoy-44-5-sm","открыть")</f>
        <v>открыть</v>
      </c>
    </row>
    <row r="225" spans="1:9" x14ac:dyDescent="0.25">
      <c r="A225" t="s">
        <v>1173</v>
      </c>
      <c r="B225" t="s">
        <v>1174</v>
      </c>
      <c r="C225" t="s">
        <v>763</v>
      </c>
      <c r="D225" s="8">
        <v>16</v>
      </c>
      <c r="E225" s="9">
        <v>518.4</v>
      </c>
      <c r="F225" s="8">
        <v>328</v>
      </c>
      <c r="G225" s="10"/>
      <c r="H225" s="9" t="str">
        <f>IF(G225="","",E225*G225)</f>
        <v/>
      </c>
      <c r="I225" s="11" t="str">
        <f>HYPERLINK("https://optomposuda.ru/product/taburet-skladnoy-multistul-malyy-28-sm","открыть")</f>
        <v>открыть</v>
      </c>
    </row>
    <row r="226" spans="1:9" x14ac:dyDescent="0.25">
      <c r="A226" t="s">
        <v>1175</v>
      </c>
      <c r="B226" t="s">
        <v>1176</v>
      </c>
      <c r="C226" t="s">
        <v>763</v>
      </c>
      <c r="D226" s="8">
        <v>4</v>
      </c>
      <c r="E226" s="9">
        <v>965.95</v>
      </c>
      <c r="F226" s="8">
        <v>16</v>
      </c>
      <c r="G226" s="10"/>
      <c r="H226" s="9" t="str">
        <f>IF(G226="","",E226*G226)</f>
        <v/>
      </c>
      <c r="I226" s="11" t="str">
        <f>HYPERLINK("https://optomposuda.ru/product/etazherka-dlya-obuvi-5-sekciy-cveta-v-assortimente","открыть")</f>
        <v>открыть</v>
      </c>
    </row>
    <row r="227" spans="1:9" x14ac:dyDescent="0.25">
      <c r="A227" t="s">
        <v>1177</v>
      </c>
      <c r="B227" t="s">
        <v>1178</v>
      </c>
      <c r="C227" t="s">
        <v>763</v>
      </c>
      <c r="D227" s="8">
        <v>1</v>
      </c>
      <c r="E227" s="9">
        <v>1007.55</v>
      </c>
      <c r="F227" s="8">
        <v>3</v>
      </c>
      <c r="G227" s="10"/>
      <c r="H227" s="9" t="str">
        <f>IF(G227="","",E227*G227)</f>
        <v/>
      </c>
      <c r="I227" s="11" t="str">
        <f>HYPERLINK("https://optomposuda.ru/product/etazherka-universalnaya-pletenka-4-h-sekcionnaya","открыть")</f>
        <v>открыть</v>
      </c>
    </row>
    <row r="228" spans="1:9" x14ac:dyDescent="0.25">
      <c r="A228" s="7" t="s">
        <v>41</v>
      </c>
      <c r="B228" s="7"/>
      <c r="C228" s="7"/>
      <c r="D228" s="7"/>
      <c r="E228" s="7"/>
      <c r="F228" s="7"/>
      <c r="G228" s="7"/>
      <c r="H228" s="7"/>
      <c r="I228" s="7"/>
    </row>
    <row r="229" spans="1:9" x14ac:dyDescent="0.25">
      <c r="A229" t="s">
        <v>1179</v>
      </c>
      <c r="B229" t="s">
        <v>1180</v>
      </c>
      <c r="C229" t="s">
        <v>763</v>
      </c>
      <c r="D229" s="8">
        <v>8</v>
      </c>
      <c r="E229" s="9">
        <v>341.71</v>
      </c>
      <c r="F229" s="8">
        <v>366</v>
      </c>
      <c r="G229" s="10"/>
      <c r="H229" s="9" t="str">
        <f>IF(G229="","",E229*G229)</f>
        <v/>
      </c>
      <c r="I229" s="11" t="str">
        <f>HYPERLINK("https://optomposuda.ru/product/vazon-flaviya-12-l","открыть")</f>
        <v>открыть</v>
      </c>
    </row>
    <row r="230" spans="1:9" x14ac:dyDescent="0.25">
      <c r="A230" t="s">
        <v>1181</v>
      </c>
      <c r="B230" t="s">
        <v>1182</v>
      </c>
      <c r="C230" t="s">
        <v>763</v>
      </c>
      <c r="D230" s="8">
        <v>20</v>
      </c>
      <c r="E230" s="9">
        <v>128.19</v>
      </c>
      <c r="F230" s="8">
        <v>728</v>
      </c>
      <c r="G230" s="10"/>
      <c r="H230" s="9" t="str">
        <f>IF(G230="","",E230*G230)</f>
        <v/>
      </c>
      <c r="I230" s="11" t="str">
        <f>HYPERLINK("https://optomposuda.ru/product/vazon-flaviya-2-l","открыть")</f>
        <v>открыть</v>
      </c>
    </row>
    <row r="231" spans="1:9" x14ac:dyDescent="0.25">
      <c r="A231" t="s">
        <v>1183</v>
      </c>
      <c r="B231" t="s">
        <v>1184</v>
      </c>
      <c r="C231" t="s">
        <v>763</v>
      </c>
      <c r="D231" s="8">
        <v>16</v>
      </c>
      <c r="E231" s="9">
        <v>188.92</v>
      </c>
      <c r="F231" s="8">
        <v>694</v>
      </c>
      <c r="G231" s="10"/>
      <c r="H231" s="9" t="str">
        <f>IF(G231="","",E231*G231)</f>
        <v/>
      </c>
      <c r="I231" s="11" t="str">
        <f>HYPERLINK("https://optomposuda.ru/product/vazon-flaviya-5-l","открыть")</f>
        <v>открыть</v>
      </c>
    </row>
    <row r="232" spans="1:9" x14ac:dyDescent="0.25">
      <c r="A232" t="s">
        <v>1185</v>
      </c>
      <c r="B232" t="s">
        <v>1186</v>
      </c>
      <c r="C232" t="s">
        <v>763</v>
      </c>
      <c r="D232" s="8">
        <v>10</v>
      </c>
      <c r="E232" s="9">
        <v>336.29</v>
      </c>
      <c r="F232" s="8">
        <v>22</v>
      </c>
      <c r="G232" s="10"/>
      <c r="H232" s="9" t="str">
        <f>IF(G232="","",E232*G232)</f>
        <v/>
      </c>
      <c r="I232" s="11" t="str">
        <f>HYPERLINK("https://optomposuda.ru/product/vazon-flora-14-5-l","открыть")</f>
        <v>открыть</v>
      </c>
    </row>
    <row r="233" spans="1:9" x14ac:dyDescent="0.25">
      <c r="A233" t="s">
        <v>1187</v>
      </c>
      <c r="B233" t="s">
        <v>1188</v>
      </c>
      <c r="C233" t="s">
        <v>763</v>
      </c>
      <c r="D233" s="8">
        <v>30</v>
      </c>
      <c r="E233" s="9">
        <v>134.02</v>
      </c>
      <c r="F233" s="8">
        <v>128</v>
      </c>
      <c r="G233" s="10"/>
      <c r="H233" s="9" t="str">
        <f>IF(G233="","",E233*G233)</f>
        <v/>
      </c>
      <c r="I233" s="11" t="str">
        <f>HYPERLINK("https://optomposuda.ru/product/vazon-flora-4-l","открыть")</f>
        <v>открыть</v>
      </c>
    </row>
    <row r="234" spans="1:9" x14ac:dyDescent="0.25">
      <c r="A234" t="s">
        <v>1189</v>
      </c>
      <c r="B234" t="s">
        <v>1190</v>
      </c>
      <c r="C234" t="s">
        <v>763</v>
      </c>
      <c r="D234" s="8">
        <v>20</v>
      </c>
      <c r="E234" s="9">
        <v>217.16</v>
      </c>
      <c r="F234" s="8">
        <v>123</v>
      </c>
      <c r="G234" s="10"/>
      <c r="H234" s="9" t="str">
        <f>IF(G234="","",E234*G234)</f>
        <v/>
      </c>
      <c r="I234" s="11" t="str">
        <f>HYPERLINK("https://optomposuda.ru/product/vazon-flora-7-5-l","открыть")</f>
        <v>открыть</v>
      </c>
    </row>
    <row r="235" spans="1:9" x14ac:dyDescent="0.25">
      <c r="A235" t="s">
        <v>1191</v>
      </c>
      <c r="B235" t="s">
        <v>1192</v>
      </c>
      <c r="C235" t="s">
        <v>763</v>
      </c>
      <c r="D235" s="8">
        <v>1</v>
      </c>
      <c r="E235" s="9">
        <v>422.81</v>
      </c>
      <c r="F235" s="8">
        <v>30</v>
      </c>
      <c r="G235" s="10"/>
      <c r="H235" s="9" t="str">
        <f>IF(G235="","",E235*G235)</f>
        <v/>
      </c>
      <c r="I235" s="11" t="str">
        <f>HYPERLINK("https://optomposuda.ru/product/kanistra-umyvalnik-aqualine-14-l","открыть")</f>
        <v>открыть</v>
      </c>
    </row>
    <row r="236" spans="1:9" x14ac:dyDescent="0.25">
      <c r="A236" t="s">
        <v>1193</v>
      </c>
      <c r="B236" t="s">
        <v>1194</v>
      </c>
      <c r="C236" t="s">
        <v>763</v>
      </c>
      <c r="D236" s="8">
        <v>4</v>
      </c>
      <c r="E236" s="9">
        <v>747.8</v>
      </c>
      <c r="F236" s="8">
        <v>4</v>
      </c>
      <c r="G236" s="10"/>
      <c r="H236" s="9" t="str">
        <f>IF(G236="","",E236*G236)</f>
        <v/>
      </c>
      <c r="I236" s="11" t="str">
        <f>HYPERLINK("https://optomposuda.ru/product/kashpo-antika-d350","открыть")</f>
        <v>открыть</v>
      </c>
    </row>
    <row r="237" spans="1:9" x14ac:dyDescent="0.25">
      <c r="A237" t="s">
        <v>1195</v>
      </c>
      <c r="B237" t="s">
        <v>1196</v>
      </c>
      <c r="C237" t="s">
        <v>763</v>
      </c>
      <c r="D237" s="8">
        <v>90</v>
      </c>
      <c r="E237" s="9">
        <v>38.23</v>
      </c>
      <c r="F237" s="8">
        <v>720</v>
      </c>
      <c r="G237" s="10"/>
      <c r="H237" s="9" t="str">
        <f>IF(G237="","",E237*G237)</f>
        <v/>
      </c>
      <c r="I237" s="11" t="str">
        <f>HYPERLINK("https://optomposuda.ru/product/kashpo-gloriya-1-0-7-l-s-poddonom","открыть")</f>
        <v>открыть</v>
      </c>
    </row>
    <row r="238" spans="1:9" x14ac:dyDescent="0.25">
      <c r="A238" t="s">
        <v>1197</v>
      </c>
      <c r="B238" t="s">
        <v>1198</v>
      </c>
      <c r="C238" t="s">
        <v>763</v>
      </c>
      <c r="D238" s="8">
        <v>72</v>
      </c>
      <c r="E238" s="9">
        <v>47.23</v>
      </c>
      <c r="F238" s="8">
        <v>612</v>
      </c>
      <c r="G238" s="10"/>
      <c r="H238" s="9" t="str">
        <f>IF(G238="","",E238*G238)</f>
        <v/>
      </c>
      <c r="I238" s="11" t="str">
        <f>HYPERLINK("https://optomposuda.ru/product/kashpo-gloriya-2-1-3-l-s-poddonom","открыть")</f>
        <v>открыть</v>
      </c>
    </row>
    <row r="239" spans="1:9" x14ac:dyDescent="0.25">
      <c r="A239" t="s">
        <v>1199</v>
      </c>
      <c r="B239" t="s">
        <v>1200</v>
      </c>
      <c r="C239" t="s">
        <v>763</v>
      </c>
      <c r="D239" s="8">
        <v>54</v>
      </c>
      <c r="E239" s="9">
        <v>69.72</v>
      </c>
      <c r="F239" s="8">
        <v>556</v>
      </c>
      <c r="G239" s="10"/>
      <c r="H239" s="9" t="str">
        <f>IF(G239="","",E239*G239)</f>
        <v/>
      </c>
      <c r="I239" s="11" t="str">
        <f>HYPERLINK("https://optomposuda.ru/product/kashpo-gloriya-3-2-0-l-s-poddonom","открыть")</f>
        <v>открыть</v>
      </c>
    </row>
    <row r="240" spans="1:9" x14ac:dyDescent="0.25">
      <c r="A240" t="s">
        <v>1201</v>
      </c>
      <c r="B240" t="s">
        <v>1202</v>
      </c>
      <c r="C240" t="s">
        <v>763</v>
      </c>
      <c r="D240" s="8">
        <v>10</v>
      </c>
      <c r="E240" s="9">
        <v>486.63</v>
      </c>
      <c r="F240" s="8">
        <v>13</v>
      </c>
      <c r="G240" s="10"/>
      <c r="H240" s="9" t="str">
        <f>IF(G240="","",E240*G240)</f>
        <v/>
      </c>
      <c r="I240" s="11" t="str">
        <f>HYPERLINK("https://optomposuda.ru/product/kashpo-ornament-7-24-l-s-poddonom","открыть")</f>
        <v>открыть</v>
      </c>
    </row>
    <row r="241" spans="1:9" x14ac:dyDescent="0.25">
      <c r="A241" t="s">
        <v>1203</v>
      </c>
      <c r="B241" t="s">
        <v>1204</v>
      </c>
      <c r="C241" t="s">
        <v>763</v>
      </c>
      <c r="D241" s="8">
        <v>60</v>
      </c>
      <c r="E241" s="9">
        <v>39.71</v>
      </c>
      <c r="F241" s="8">
        <v>289</v>
      </c>
      <c r="G241" s="10"/>
      <c r="H241" s="9" t="str">
        <f>IF(G241="","",E241*G241)</f>
        <v/>
      </c>
      <c r="I241" s="11" t="str">
        <f>HYPERLINK("https://optomposuda.ru/product/kashpo-flaviya-0-6-l-s-poddonom","открыть")</f>
        <v>открыть</v>
      </c>
    </row>
    <row r="242" spans="1:9" x14ac:dyDescent="0.25">
      <c r="A242" t="s">
        <v>1205</v>
      </c>
      <c r="B242" t="s">
        <v>1206</v>
      </c>
      <c r="C242" t="s">
        <v>763</v>
      </c>
      <c r="D242" s="8">
        <v>60</v>
      </c>
      <c r="E242" s="9">
        <v>48.36</v>
      </c>
      <c r="F242" s="8">
        <v>160</v>
      </c>
      <c r="G242" s="10"/>
      <c r="H242" s="9" t="str">
        <f>IF(G242="","",E242*G242)</f>
        <v/>
      </c>
      <c r="I242" s="11" t="str">
        <f>HYPERLINK("https://optomposuda.ru/product/kashpo-flaviya-1-l-s-poddonom","открыть")</f>
        <v>открыть</v>
      </c>
    </row>
    <row r="243" spans="1:9" x14ac:dyDescent="0.25">
      <c r="A243" t="s">
        <v>1207</v>
      </c>
      <c r="B243" t="s">
        <v>1208</v>
      </c>
      <c r="C243" t="s">
        <v>763</v>
      </c>
      <c r="D243" s="8">
        <v>60</v>
      </c>
      <c r="E243" s="9">
        <v>69.03</v>
      </c>
      <c r="F243" s="8">
        <v>331</v>
      </c>
      <c r="G243" s="10"/>
      <c r="H243" s="9" t="str">
        <f>IF(G243="","",E243*G243)</f>
        <v/>
      </c>
      <c r="I243" s="11" t="str">
        <f>HYPERLINK("https://optomposuda.ru/product/kashpo-flaviya-1-4-l-s-poddonom-podvesnoe-bez-podvesov","открыть")</f>
        <v>открыть</v>
      </c>
    </row>
    <row r="244" spans="1:9" x14ac:dyDescent="0.25">
      <c r="A244" t="s">
        <v>1209</v>
      </c>
      <c r="B244" t="s">
        <v>1210</v>
      </c>
      <c r="C244" t="s">
        <v>763</v>
      </c>
      <c r="D244" s="8">
        <v>4</v>
      </c>
      <c r="E244" s="9">
        <v>72.49</v>
      </c>
      <c r="F244" s="8">
        <v>224</v>
      </c>
      <c r="G244" s="10"/>
      <c r="H244" s="9" t="str">
        <f>IF(G244="","",E244*G244)</f>
        <v/>
      </c>
      <c r="I244" s="11" t="str">
        <f>HYPERLINK("https://optomposuda.ru/product/kashpo-flaviya-1-7-l-s-poddonom","открыть")</f>
        <v>открыть</v>
      </c>
    </row>
    <row r="245" spans="1:9" x14ac:dyDescent="0.25">
      <c r="A245" t="s">
        <v>1211</v>
      </c>
      <c r="B245" t="s">
        <v>1212</v>
      </c>
      <c r="C245" t="s">
        <v>763</v>
      </c>
      <c r="D245" s="8">
        <v>20</v>
      </c>
      <c r="E245" s="9">
        <v>225.5</v>
      </c>
      <c r="F245" s="8">
        <v>117</v>
      </c>
      <c r="G245" s="10"/>
      <c r="H245" s="9" t="str">
        <f>IF(G245="","",E245*G245)</f>
        <v/>
      </c>
      <c r="I245" s="11" t="str">
        <f>HYPERLINK("https://optomposuda.ru/product/kashpo-flaviya-10-l-s-poddonom","открыть")</f>
        <v>открыть</v>
      </c>
    </row>
    <row r="246" spans="1:9" x14ac:dyDescent="0.25">
      <c r="A246" t="s">
        <v>1213</v>
      </c>
      <c r="B246" t="s">
        <v>1214</v>
      </c>
      <c r="C246" t="s">
        <v>763</v>
      </c>
      <c r="D246" s="8">
        <v>10</v>
      </c>
      <c r="E246" s="9">
        <v>333.65</v>
      </c>
      <c r="F246" s="8">
        <v>105</v>
      </c>
      <c r="G246" s="10"/>
      <c r="H246" s="9" t="str">
        <f>IF(G246="","",E246*G246)</f>
        <v/>
      </c>
      <c r="I246" s="11" t="str">
        <f>HYPERLINK("https://optomposuda.ru/product/kashpo-flaviya-15-l-s-poddonom","открыть")</f>
        <v>открыть</v>
      </c>
    </row>
    <row r="247" spans="1:9" x14ac:dyDescent="0.25">
      <c r="A247" t="s">
        <v>1215</v>
      </c>
      <c r="B247" t="s">
        <v>1216</v>
      </c>
      <c r="C247" t="s">
        <v>763</v>
      </c>
      <c r="D247" s="8">
        <v>60</v>
      </c>
      <c r="E247" s="9">
        <v>90.9</v>
      </c>
      <c r="F247" s="8">
        <v>382</v>
      </c>
      <c r="G247" s="10"/>
      <c r="H247" s="9" t="str">
        <f>IF(G247="","",E247*G247)</f>
        <v/>
      </c>
      <c r="I247" s="11" t="str">
        <f>HYPERLINK("https://optomposuda.ru/product/kashpo-flaviya-2-5-l-s-poddonom-podvesnoe-bez-podvesov","открыть")</f>
        <v>открыть</v>
      </c>
    </row>
    <row r="248" spans="1:9" x14ac:dyDescent="0.25">
      <c r="A248" t="s">
        <v>1217</v>
      </c>
      <c r="B248" t="s">
        <v>1218</v>
      </c>
      <c r="C248" t="s">
        <v>763</v>
      </c>
      <c r="D248" s="8">
        <v>10</v>
      </c>
      <c r="E248" s="9">
        <v>487.81</v>
      </c>
      <c r="F248" s="8">
        <v>120</v>
      </c>
      <c r="G248" s="10"/>
      <c r="H248" s="9" t="str">
        <f>IF(G248="","",E248*G248)</f>
        <v/>
      </c>
      <c r="I248" s="11" t="str">
        <f>HYPERLINK("https://optomposuda.ru/product/kashpo-flaviya-23-l-s-poddonom","открыть")</f>
        <v>открыть</v>
      </c>
    </row>
    <row r="249" spans="1:9" x14ac:dyDescent="0.25">
      <c r="A249" t="s">
        <v>1219</v>
      </c>
      <c r="B249" t="s">
        <v>1220</v>
      </c>
      <c r="C249" t="s">
        <v>763</v>
      </c>
      <c r="D249" s="8">
        <v>40</v>
      </c>
      <c r="E249" s="9">
        <v>110.45</v>
      </c>
      <c r="F249" s="8">
        <v>274</v>
      </c>
      <c r="G249" s="10"/>
      <c r="H249" s="9" t="str">
        <f>IF(G249="","",E249*G249)</f>
        <v/>
      </c>
      <c r="I249" s="11" t="str">
        <f>HYPERLINK("https://optomposuda.ru/product/kashpo-flaviya-3-l-s-poddonom","открыть")</f>
        <v>открыть</v>
      </c>
    </row>
    <row r="250" spans="1:9" x14ac:dyDescent="0.25">
      <c r="A250" t="s">
        <v>1221</v>
      </c>
      <c r="B250" t="s">
        <v>1222</v>
      </c>
      <c r="C250" t="s">
        <v>763</v>
      </c>
      <c r="D250" s="8">
        <v>40</v>
      </c>
      <c r="E250" s="9">
        <v>130.01</v>
      </c>
      <c r="F250" s="8">
        <v>292</v>
      </c>
      <c r="G250" s="10"/>
      <c r="H250" s="9" t="str">
        <f>IF(G250="","",E250*G250)</f>
        <v/>
      </c>
      <c r="I250" s="11" t="str">
        <f>HYPERLINK("https://optomposuda.ru/product/kashpo-flaviya-5-l-s-poddonom","открыть")</f>
        <v>открыть</v>
      </c>
    </row>
    <row r="251" spans="1:9" x14ac:dyDescent="0.25">
      <c r="A251" t="s">
        <v>1223</v>
      </c>
      <c r="B251" t="s">
        <v>1224</v>
      </c>
      <c r="C251" t="s">
        <v>763</v>
      </c>
      <c r="D251" s="8">
        <v>20</v>
      </c>
      <c r="E251" s="9">
        <v>57.53</v>
      </c>
      <c r="F251" s="8">
        <v>336</v>
      </c>
      <c r="G251" s="10"/>
      <c r="H251" s="9" t="str">
        <f>IF(G251="","",E251*G251)</f>
        <v/>
      </c>
      <c r="I251" s="11" t="str">
        <f>HYPERLINK("https://optomposuda.ru/product/kashpo-flaviya-ovalnoe-1-s-zastegivayuschimsya-poddonom","открыть")</f>
        <v>открыть</v>
      </c>
    </row>
    <row r="252" spans="1:9" x14ac:dyDescent="0.25">
      <c r="A252" t="s">
        <v>1225</v>
      </c>
      <c r="B252" t="s">
        <v>1226</v>
      </c>
      <c r="C252" t="s">
        <v>763</v>
      </c>
      <c r="D252" s="8">
        <v>8</v>
      </c>
      <c r="E252" s="9">
        <v>91.09</v>
      </c>
      <c r="F252" s="8">
        <v>184</v>
      </c>
      <c r="G252" s="10"/>
      <c r="H252" s="9" t="str">
        <f>IF(G252="","",E252*G252)</f>
        <v/>
      </c>
      <c r="I252" s="11" t="str">
        <f>HYPERLINK("https://optomposuda.ru/product/kashpo-flaviya-ovalnoe-2-s-zastegivayuschimsya-poddonom","открыть")</f>
        <v>открыть</v>
      </c>
    </row>
    <row r="253" spans="1:9" x14ac:dyDescent="0.25">
      <c r="A253" t="s">
        <v>1227</v>
      </c>
      <c r="B253" t="s">
        <v>1228</v>
      </c>
      <c r="C253" t="s">
        <v>763</v>
      </c>
      <c r="D253" s="8">
        <v>20</v>
      </c>
      <c r="E253" s="9">
        <v>251.91</v>
      </c>
      <c r="F253" s="8">
        <v>20</v>
      </c>
      <c r="G253" s="10"/>
      <c r="H253" s="9" t="str">
        <f>IF(G253="","",E253*G253)</f>
        <v/>
      </c>
      <c r="I253" s="11" t="str">
        <f>HYPERLINK("https://optomposuda.ru/product/kashpo-flaviya-pryamougolnoe-1-50-sm","открыть")</f>
        <v>открыть</v>
      </c>
    </row>
    <row r="254" spans="1:9" x14ac:dyDescent="0.25">
      <c r="A254" t="s">
        <v>1229</v>
      </c>
      <c r="B254" t="s">
        <v>1230</v>
      </c>
      <c r="C254" t="s">
        <v>763</v>
      </c>
      <c r="D254" s="8">
        <v>20</v>
      </c>
      <c r="E254" s="9">
        <v>305.27</v>
      </c>
      <c r="F254" s="8">
        <v>34</v>
      </c>
      <c r="G254" s="10"/>
      <c r="H254" s="9" t="str">
        <f>IF(G254="","",E254*G254)</f>
        <v/>
      </c>
      <c r="I254" s="11" t="str">
        <f>HYPERLINK("https://optomposuda.ru/product/kashpo-flaviya-pryamougolnoe-2-65-sm","открыть")</f>
        <v>открыть</v>
      </c>
    </row>
    <row r="255" spans="1:9" x14ac:dyDescent="0.25">
      <c r="A255" t="s">
        <v>1231</v>
      </c>
      <c r="B255" t="s">
        <v>1232</v>
      </c>
      <c r="C255" t="s">
        <v>763</v>
      </c>
      <c r="D255" s="8">
        <v>10</v>
      </c>
      <c r="E255" s="9">
        <v>444.24</v>
      </c>
      <c r="F255" s="8">
        <v>65</v>
      </c>
      <c r="G255" s="10"/>
      <c r="H255" s="9" t="str">
        <f>IF(G255="","",E255*G255)</f>
        <v/>
      </c>
      <c r="I255" s="11" t="str">
        <f>HYPERLINK("https://optomposuda.ru/product/kashpo-flaviya-pryamougolnoe-3-100-sm","открыть")</f>
        <v>открыть</v>
      </c>
    </row>
    <row r="256" spans="1:9" x14ac:dyDescent="0.25">
      <c r="A256" t="s">
        <v>1233</v>
      </c>
      <c r="B256" t="s">
        <v>1234</v>
      </c>
      <c r="C256" t="s">
        <v>763</v>
      </c>
      <c r="D256" s="8">
        <v>60</v>
      </c>
      <c r="E256" s="9">
        <v>57.36</v>
      </c>
      <c r="F256" s="8">
        <v>191</v>
      </c>
      <c r="G256" s="10"/>
      <c r="H256" s="9" t="str">
        <f>IF(G256="","",E256*G256)</f>
        <v/>
      </c>
      <c r="I256" s="11" t="str">
        <f>HYPERLINK("https://optomposuda.ru/product/kashpo-flora-1-1-l-s-poddonom","открыть")</f>
        <v>открыть</v>
      </c>
    </row>
    <row r="257" spans="1:9" x14ac:dyDescent="0.25">
      <c r="A257" t="s">
        <v>1235</v>
      </c>
      <c r="B257" t="s">
        <v>1236</v>
      </c>
      <c r="C257" t="s">
        <v>763</v>
      </c>
      <c r="D257" s="8">
        <v>60</v>
      </c>
      <c r="E257" s="9">
        <v>66.73</v>
      </c>
      <c r="F257" s="8">
        <v>64</v>
      </c>
      <c r="G257" s="10"/>
      <c r="H257" s="9" t="str">
        <f>IF(G257="","",E257*G257)</f>
        <v/>
      </c>
      <c r="I257" s="11" t="str">
        <f>HYPERLINK("https://optomposuda.ru/product/kashpo-flora-1-6-l-s-poddonom","открыть")</f>
        <v>открыть</v>
      </c>
    </row>
    <row r="258" spans="1:9" x14ac:dyDescent="0.25">
      <c r="A258" t="s">
        <v>1237</v>
      </c>
      <c r="B258" t="s">
        <v>1238</v>
      </c>
      <c r="C258" t="s">
        <v>763</v>
      </c>
      <c r="D258" s="8">
        <v>15</v>
      </c>
      <c r="E258" s="9">
        <v>363.22</v>
      </c>
      <c r="F258" s="8">
        <v>31</v>
      </c>
      <c r="G258" s="10"/>
      <c r="H258" s="9" t="str">
        <f>IF(G258="","",E258*G258)</f>
        <v/>
      </c>
      <c r="I258" s="11" t="str">
        <f>HYPERLINK("https://optomposuda.ru/product/kashpo-flora-14-25-l-s-poddonom","открыть")</f>
        <v>открыть</v>
      </c>
    </row>
    <row r="259" spans="1:9" x14ac:dyDescent="0.25">
      <c r="A259" t="s">
        <v>1239</v>
      </c>
      <c r="B259" t="s">
        <v>1240</v>
      </c>
      <c r="C259" t="s">
        <v>763</v>
      </c>
      <c r="D259" s="8">
        <v>15</v>
      </c>
      <c r="E259" s="9">
        <v>299.76</v>
      </c>
      <c r="F259" s="8">
        <v>51</v>
      </c>
      <c r="G259" s="10"/>
      <c r="H259" s="9" t="str">
        <f>IF(G259="","",E259*G259)</f>
        <v/>
      </c>
      <c r="I259" s="11" t="str">
        <f>HYPERLINK("https://optomposuda.ru/product/kashpo-flora-14-5-l-podvesnoe","открыть")</f>
        <v>открыть</v>
      </c>
    </row>
    <row r="260" spans="1:9" x14ac:dyDescent="0.25">
      <c r="A260" t="s">
        <v>1241</v>
      </c>
      <c r="B260" t="s">
        <v>1242</v>
      </c>
      <c r="C260" t="s">
        <v>763</v>
      </c>
      <c r="D260" s="8">
        <v>60</v>
      </c>
      <c r="E260" s="9">
        <v>100.09</v>
      </c>
      <c r="F260" s="8">
        <v>196</v>
      </c>
      <c r="G260" s="10"/>
      <c r="H260" s="9" t="str">
        <f>IF(G260="","",E260*G260)</f>
        <v/>
      </c>
      <c r="I260" s="11" t="str">
        <f>HYPERLINK("https://optomposuda.ru/product/kashpo-flora-2-5-l-s-poddonom","открыть")</f>
        <v>открыть</v>
      </c>
    </row>
    <row r="261" spans="1:9" x14ac:dyDescent="0.25">
      <c r="A261" t="s">
        <v>1243</v>
      </c>
      <c r="B261" t="s">
        <v>1244</v>
      </c>
      <c r="C261" t="s">
        <v>763</v>
      </c>
      <c r="D261" s="8">
        <v>10</v>
      </c>
      <c r="E261" s="9">
        <v>577.55</v>
      </c>
      <c r="F261" s="8">
        <v>12</v>
      </c>
      <c r="G261" s="10"/>
      <c r="H261" s="9" t="str">
        <f>IF(G261="","",E261*G261)</f>
        <v/>
      </c>
      <c r="I261" s="11" t="str">
        <f>HYPERLINK("https://optomposuda.ru/product/kashpo-flora-30-l-s-poddonom","открыть")</f>
        <v>открыть</v>
      </c>
    </row>
    <row r="262" spans="1:9" x14ac:dyDescent="0.25">
      <c r="A262" t="s">
        <v>1245</v>
      </c>
      <c r="B262" t="s">
        <v>1246</v>
      </c>
      <c r="C262" t="s">
        <v>763</v>
      </c>
      <c r="D262" s="8">
        <v>60</v>
      </c>
      <c r="E262" s="9">
        <v>106.72</v>
      </c>
      <c r="F262" s="8">
        <v>205</v>
      </c>
      <c r="G262" s="10"/>
      <c r="H262" s="9" t="str">
        <f>IF(G262="","",E262*G262)</f>
        <v/>
      </c>
      <c r="I262" s="11" t="str">
        <f>HYPERLINK("https://optomposuda.ru/product/kashpo-flora-4-l-podvesnoe","открыть")</f>
        <v>открыть</v>
      </c>
    </row>
    <row r="263" spans="1:9" x14ac:dyDescent="0.25">
      <c r="A263" t="s">
        <v>1247</v>
      </c>
      <c r="B263" t="s">
        <v>1248</v>
      </c>
      <c r="C263" t="s">
        <v>763</v>
      </c>
      <c r="D263" s="8">
        <v>40</v>
      </c>
      <c r="E263" s="9">
        <v>127.82</v>
      </c>
      <c r="F263" s="8">
        <v>40</v>
      </c>
      <c r="G263" s="10"/>
      <c r="H263" s="9" t="str">
        <f>IF(G263="","",E263*G263)</f>
        <v/>
      </c>
      <c r="I263" s="11" t="str">
        <f>HYPERLINK("https://optomposuda.ru/product/kashpo-flora-5-l-s-poddonom","открыть")</f>
        <v>открыть</v>
      </c>
    </row>
    <row r="264" spans="1:9" x14ac:dyDescent="0.25">
      <c r="A264" t="s">
        <v>1249</v>
      </c>
      <c r="B264" t="s">
        <v>1250</v>
      </c>
      <c r="C264" t="s">
        <v>763</v>
      </c>
      <c r="D264" s="8">
        <v>30</v>
      </c>
      <c r="E264" s="9">
        <v>160.36</v>
      </c>
      <c r="F264" s="8">
        <v>204</v>
      </c>
      <c r="G264" s="10"/>
      <c r="H264" s="9" t="str">
        <f>IF(G264="","",E264*G264)</f>
        <v/>
      </c>
      <c r="I264" s="11" t="str">
        <f>HYPERLINK("https://optomposuda.ru/product/kashpo-flora-7-5-l-podvesnoe","открыть")</f>
        <v>открыть</v>
      </c>
    </row>
    <row r="265" spans="1:9" x14ac:dyDescent="0.25">
      <c r="A265" t="s">
        <v>1251</v>
      </c>
      <c r="B265" t="s">
        <v>1252</v>
      </c>
      <c r="C265" t="s">
        <v>763</v>
      </c>
      <c r="D265" s="8">
        <v>20</v>
      </c>
      <c r="E265" s="9">
        <v>232.06</v>
      </c>
      <c r="F265" s="8">
        <v>58</v>
      </c>
      <c r="G265" s="10"/>
      <c r="H265" s="9" t="str">
        <f>IF(G265="","",E265*G265)</f>
        <v/>
      </c>
      <c r="I265" s="11" t="str">
        <f>HYPERLINK("https://optomposuda.ru/product/kashpo-flora-9-5-l-s-poddonom","открыть")</f>
        <v>открыть</v>
      </c>
    </row>
    <row r="266" spans="1:9" x14ac:dyDescent="0.25">
      <c r="A266" t="s">
        <v>1253</v>
      </c>
      <c r="B266" t="s">
        <v>1254</v>
      </c>
      <c r="C266" t="s">
        <v>763</v>
      </c>
      <c r="D266" s="8">
        <v>3</v>
      </c>
      <c r="E266" s="9">
        <v>905.86</v>
      </c>
      <c r="F266" s="8">
        <v>132</v>
      </c>
      <c r="G266" s="10"/>
      <c r="H266" s="9" t="str">
        <f>IF(G266="","",E266*G266)</f>
        <v/>
      </c>
      <c r="I266" s="11" t="str">
        <f>HYPERLINK("https://optomposuda.ru/product/kashpo-camellia-295h295h565","открыть")</f>
        <v>открыть</v>
      </c>
    </row>
    <row r="267" spans="1:9" x14ac:dyDescent="0.25">
      <c r="A267" t="s">
        <v>1255</v>
      </c>
      <c r="B267" t="s">
        <v>1256</v>
      </c>
      <c r="C267" t="s">
        <v>763</v>
      </c>
      <c r="D267" s="8">
        <v>4</v>
      </c>
      <c r="E267" s="9">
        <v>691.74</v>
      </c>
      <c r="F267" s="8">
        <v>46</v>
      </c>
      <c r="G267" s="10"/>
      <c r="H267" s="9" t="str">
        <f>IF(G267="","",E267*G267)</f>
        <v/>
      </c>
      <c r="I267" s="11" t="str">
        <f>HYPERLINK("https://optomposuda.ru/product/kashpo-camellia-rotang-245h245h465","открыть")</f>
        <v>открыть</v>
      </c>
    </row>
    <row r="268" spans="1:9" x14ac:dyDescent="0.25">
      <c r="A268" t="s">
        <v>1257</v>
      </c>
      <c r="B268" t="s">
        <v>1258</v>
      </c>
      <c r="C268" t="s">
        <v>763</v>
      </c>
      <c r="D268" s="8">
        <v>2</v>
      </c>
      <c r="E268" s="9">
        <v>980.31</v>
      </c>
      <c r="F268" s="8">
        <v>32</v>
      </c>
      <c r="G268" s="10"/>
      <c r="H268" s="9" t="str">
        <f>IF(G268="","",E268*G268)</f>
        <v/>
      </c>
      <c r="I268" s="11" t="str">
        <f>HYPERLINK("https://optomposuda.ru/product/kashpo-camellia-rotang-295h295h565","открыть")</f>
        <v>открыть</v>
      </c>
    </row>
    <row r="269" spans="1:9" x14ac:dyDescent="0.25">
      <c r="A269" t="s">
        <v>1259</v>
      </c>
      <c r="B269" t="s">
        <v>1260</v>
      </c>
      <c r="C269" t="s">
        <v>763</v>
      </c>
      <c r="D269" s="8">
        <v>20</v>
      </c>
      <c r="E269" s="9">
        <v>262.31</v>
      </c>
      <c r="F269" s="8">
        <v>80</v>
      </c>
      <c r="G269" s="10"/>
      <c r="H269" s="9" t="str">
        <f>IF(G269="","",E269*G269)</f>
        <v/>
      </c>
      <c r="I269" s="11" t="str">
        <f>HYPERLINK("https://optomposuda.ru/product/kashpo-italy-11-l-s-poddonom","открыть")</f>
        <v>открыть</v>
      </c>
    </row>
    <row r="270" spans="1:9" x14ac:dyDescent="0.25">
      <c r="A270" t="s">
        <v>1261</v>
      </c>
      <c r="B270" t="s">
        <v>1262</v>
      </c>
      <c r="C270" t="s">
        <v>763</v>
      </c>
      <c r="D270" s="8">
        <v>10</v>
      </c>
      <c r="E270" s="9">
        <v>348.6</v>
      </c>
      <c r="F270" s="8">
        <v>21</v>
      </c>
      <c r="G270" s="10"/>
      <c r="H270" s="9" t="str">
        <f>IF(G270="","",E270*G270)</f>
        <v/>
      </c>
      <c r="I270" s="11" t="str">
        <f>HYPERLINK("https://optomposuda.ru/product/kashpo-italy-17-l-s-poddonom","открыть")</f>
        <v>открыть</v>
      </c>
    </row>
    <row r="271" spans="1:9" x14ac:dyDescent="0.25">
      <c r="A271" t="s">
        <v>1263</v>
      </c>
      <c r="B271" t="s">
        <v>1264</v>
      </c>
      <c r="C271" t="s">
        <v>763</v>
      </c>
      <c r="D271" s="8">
        <v>48</v>
      </c>
      <c r="E271" s="9">
        <v>71.33</v>
      </c>
      <c r="F271" s="8">
        <v>96</v>
      </c>
      <c r="G271" s="10"/>
      <c r="H271" s="9" t="str">
        <f>IF(G271="","",E271*G271)</f>
        <v/>
      </c>
      <c r="I271" s="11" t="str">
        <f>HYPERLINK("https://optomposuda.ru/product/kashpo-italy-2-l-s-poddonom","открыть")</f>
        <v>открыть</v>
      </c>
    </row>
    <row r="272" spans="1:9" x14ac:dyDescent="0.25">
      <c r="A272" t="s">
        <v>1265</v>
      </c>
      <c r="B272" t="s">
        <v>1266</v>
      </c>
      <c r="C272" t="s">
        <v>763</v>
      </c>
      <c r="D272" s="8">
        <v>10</v>
      </c>
      <c r="E272" s="9">
        <v>487.81</v>
      </c>
      <c r="F272" s="8">
        <v>24</v>
      </c>
      <c r="G272" s="10"/>
      <c r="H272" s="9" t="str">
        <f>IF(G272="","",E272*G272)</f>
        <v/>
      </c>
      <c r="I272" s="11" t="str">
        <f>HYPERLINK("https://optomposuda.ru/product/kashpo-italy-28-l-s-poddonom","открыть")</f>
        <v>открыть</v>
      </c>
    </row>
    <row r="273" spans="1:9" x14ac:dyDescent="0.25">
      <c r="A273" t="s">
        <v>1267</v>
      </c>
      <c r="B273" t="s">
        <v>1268</v>
      </c>
      <c r="C273" t="s">
        <v>763</v>
      </c>
      <c r="D273" s="8">
        <v>36</v>
      </c>
      <c r="E273" s="9">
        <v>94.34</v>
      </c>
      <c r="F273" s="8">
        <v>72</v>
      </c>
      <c r="G273" s="10"/>
      <c r="H273" s="9" t="str">
        <f>IF(G273="","",E273*G273)</f>
        <v/>
      </c>
      <c r="I273" s="11" t="str">
        <f>HYPERLINK("https://optomposuda.ru/product/kashpo-italy-3-5-l-s-poddonom","открыть")</f>
        <v>открыть</v>
      </c>
    </row>
    <row r="274" spans="1:9" x14ac:dyDescent="0.25">
      <c r="A274" t="s">
        <v>1269</v>
      </c>
      <c r="B274" t="s">
        <v>1270</v>
      </c>
      <c r="C274" t="s">
        <v>763</v>
      </c>
      <c r="D274" s="8">
        <v>8</v>
      </c>
      <c r="E274" s="9">
        <v>530.31</v>
      </c>
      <c r="F274" s="8">
        <v>12</v>
      </c>
      <c r="G274" s="10"/>
      <c r="H274" s="9" t="str">
        <f>IF(G274="","",E274*G274)</f>
        <v/>
      </c>
      <c r="I274" s="11" t="str">
        <f>HYPERLINK("https://optomposuda.ru/product/kashpo-italy-38-l-s-poddonom","открыть")</f>
        <v>открыть</v>
      </c>
    </row>
    <row r="275" spans="1:9" x14ac:dyDescent="0.25">
      <c r="A275" t="s">
        <v>1271</v>
      </c>
      <c r="B275" t="s">
        <v>1272</v>
      </c>
      <c r="C275" t="s">
        <v>763</v>
      </c>
      <c r="D275" s="8">
        <v>30</v>
      </c>
      <c r="E275" s="9">
        <v>165.67</v>
      </c>
      <c r="F275" s="8">
        <v>120</v>
      </c>
      <c r="G275" s="10"/>
      <c r="H275" s="9" t="str">
        <f>IF(G275="","",E275*G275)</f>
        <v/>
      </c>
      <c r="I275" s="11" t="str">
        <f>HYPERLINK("https://optomposuda.ru/product/kashpo-italy-6-l-s-poddonom","открыть")</f>
        <v>открыть</v>
      </c>
    </row>
    <row r="276" spans="1:9" x14ac:dyDescent="0.25">
      <c r="A276" t="s">
        <v>1273</v>
      </c>
      <c r="B276" t="s">
        <v>1274</v>
      </c>
      <c r="C276" t="s">
        <v>763</v>
      </c>
      <c r="D276" s="8">
        <v>54</v>
      </c>
      <c r="E276" s="9">
        <v>79.85</v>
      </c>
      <c r="F276" s="8">
        <v>381</v>
      </c>
      <c r="G276" s="10"/>
      <c r="H276" s="9" t="str">
        <f>IF(G276="","",E276*G276)</f>
        <v/>
      </c>
      <c r="I276" s="11" t="str">
        <f>HYPERLINK("https://optomposuda.ru/product/kashpo-kerama-1-1-l","открыть")</f>
        <v>открыть</v>
      </c>
    </row>
    <row r="277" spans="1:9" x14ac:dyDescent="0.25">
      <c r="A277" t="s">
        <v>1275</v>
      </c>
      <c r="B277" t="s">
        <v>1276</v>
      </c>
      <c r="C277" t="s">
        <v>763</v>
      </c>
      <c r="D277" s="8">
        <v>8</v>
      </c>
      <c r="E277" s="9">
        <v>470.04</v>
      </c>
      <c r="F277" s="8">
        <v>335</v>
      </c>
      <c r="G277" s="10"/>
      <c r="H277" s="9" t="str">
        <f>IF(G277="","",E277*G277)</f>
        <v/>
      </c>
      <c r="I277" s="11" t="str">
        <f>HYPERLINK("https://optomposuda.ru/product/kashpo-kerama-14-2-l","открыть")</f>
        <v>открыть</v>
      </c>
    </row>
    <row r="278" spans="1:9" x14ac:dyDescent="0.25">
      <c r="A278" t="s">
        <v>1277</v>
      </c>
      <c r="B278" t="s">
        <v>1278</v>
      </c>
      <c r="C278" t="s">
        <v>763</v>
      </c>
      <c r="D278" s="8">
        <v>6</v>
      </c>
      <c r="E278" s="9">
        <v>525.15</v>
      </c>
      <c r="F278" s="8">
        <v>93</v>
      </c>
      <c r="G278" s="10"/>
      <c r="H278" s="9" t="str">
        <f>IF(G278="","",E278*G278)</f>
        <v/>
      </c>
      <c r="I278" s="11" t="str">
        <f>HYPERLINK("https://optomposuda.ru/product/kashpo-kerama-15-5-l","открыть")</f>
        <v>открыть</v>
      </c>
    </row>
    <row r="279" spans="1:9" x14ac:dyDescent="0.25">
      <c r="A279" t="s">
        <v>1279</v>
      </c>
      <c r="B279" t="s">
        <v>1280</v>
      </c>
      <c r="C279" t="s">
        <v>763</v>
      </c>
      <c r="D279" s="8">
        <v>36</v>
      </c>
      <c r="E279" s="9">
        <v>107.95</v>
      </c>
      <c r="F279" s="8">
        <v>511</v>
      </c>
      <c r="G279" s="10"/>
      <c r="H279" s="9" t="str">
        <f>IF(G279="","",E279*G279)</f>
        <v/>
      </c>
      <c r="I279" s="11" t="str">
        <f>HYPERLINK("https://optomposuda.ru/product/kashpo-kerama-2-3-l","открыть")</f>
        <v>открыть</v>
      </c>
    </row>
    <row r="280" spans="1:9" x14ac:dyDescent="0.25">
      <c r="A280" t="s">
        <v>1281</v>
      </c>
      <c r="B280" t="s">
        <v>1282</v>
      </c>
      <c r="C280" t="s">
        <v>763</v>
      </c>
      <c r="D280" s="8">
        <v>4</v>
      </c>
      <c r="E280" s="9">
        <v>933.34</v>
      </c>
      <c r="F280" s="8">
        <v>27</v>
      </c>
      <c r="G280" s="10"/>
      <c r="H280" s="9" t="str">
        <f>IF(G280="","",E280*G280)</f>
        <v/>
      </c>
      <c r="I280" s="11" t="str">
        <f>HYPERLINK("https://optomposuda.ru/product/kashpo-kerama-30-l","открыть")</f>
        <v>открыть</v>
      </c>
    </row>
    <row r="281" spans="1:9" x14ac:dyDescent="0.25">
      <c r="A281" t="s">
        <v>1283</v>
      </c>
      <c r="B281" t="s">
        <v>1284</v>
      </c>
      <c r="C281" t="s">
        <v>763</v>
      </c>
      <c r="D281" s="8">
        <v>24</v>
      </c>
      <c r="E281" s="9">
        <v>175.42</v>
      </c>
      <c r="F281" s="8">
        <v>538</v>
      </c>
      <c r="G281" s="10"/>
      <c r="H281" s="9" t="str">
        <f>IF(G281="","",E281*G281)</f>
        <v/>
      </c>
      <c r="I281" s="11" t="str">
        <f>HYPERLINK("https://optomposuda.ru/product/kashpo-kerama-4-6-l","открыть")</f>
        <v>открыть</v>
      </c>
    </row>
    <row r="282" spans="1:9" x14ac:dyDescent="0.25">
      <c r="A282" t="s">
        <v>1285</v>
      </c>
      <c r="B282" t="s">
        <v>1286</v>
      </c>
      <c r="C282" t="s">
        <v>763</v>
      </c>
      <c r="D282" s="8">
        <v>24</v>
      </c>
      <c r="E282" s="9">
        <v>310.36</v>
      </c>
      <c r="F282" s="8">
        <v>359</v>
      </c>
      <c r="G282" s="10"/>
      <c r="H282" s="9" t="str">
        <f>IF(G282="","",E282*G282)</f>
        <v/>
      </c>
      <c r="I282" s="11" t="str">
        <f>HYPERLINK("https://optomposuda.ru/product/kashpo-kerama-8-5-l","открыть")</f>
        <v>открыть</v>
      </c>
    </row>
    <row r="283" spans="1:9" x14ac:dyDescent="0.25">
      <c r="A283" t="s">
        <v>1287</v>
      </c>
      <c r="B283" t="s">
        <v>1288</v>
      </c>
      <c r="C283" t="s">
        <v>763</v>
      </c>
      <c r="D283" s="8">
        <v>6</v>
      </c>
      <c r="E283" s="9">
        <v>429.56</v>
      </c>
      <c r="F283" s="8">
        <v>28</v>
      </c>
      <c r="G283" s="10"/>
      <c r="H283" s="9" t="str">
        <f>IF(G283="","",E283*G283)</f>
        <v/>
      </c>
      <c r="I283" s="11" t="str">
        <f>HYPERLINK("https://optomposuda.ru/product/kashpo-lace-2-3-l","открыть")</f>
        <v>открыть</v>
      </c>
    </row>
    <row r="284" spans="1:9" x14ac:dyDescent="0.25">
      <c r="A284" t="s">
        <v>1289</v>
      </c>
      <c r="B284" t="s">
        <v>1290</v>
      </c>
      <c r="C284" t="s">
        <v>763</v>
      </c>
      <c r="D284" s="8">
        <v>12</v>
      </c>
      <c r="E284" s="9">
        <v>521.18</v>
      </c>
      <c r="F284" s="8">
        <v>22</v>
      </c>
      <c r="G284" s="10"/>
      <c r="H284" s="9" t="str">
        <f>IF(G284="","",E284*G284)</f>
        <v/>
      </c>
      <c r="I284" s="11" t="str">
        <f>HYPERLINK("https://optomposuda.ru/product/kashpo-lace-2-3-l-podvesnoe","открыть")</f>
        <v>открыть</v>
      </c>
    </row>
    <row r="285" spans="1:9" x14ac:dyDescent="0.25">
      <c r="A285" t="s">
        <v>1291</v>
      </c>
      <c r="B285" t="s">
        <v>1292</v>
      </c>
      <c r="C285" t="s">
        <v>763</v>
      </c>
      <c r="D285" s="8">
        <v>4</v>
      </c>
      <c r="E285" s="9">
        <v>681.45</v>
      </c>
      <c r="F285" s="8">
        <v>33</v>
      </c>
      <c r="G285" s="10"/>
      <c r="H285" s="9" t="str">
        <f>IF(G285="","",E285*G285)</f>
        <v/>
      </c>
      <c r="I285" s="11" t="str">
        <f>HYPERLINK("https://optomposuda.ru/product/kashpo-lace-3-9-l","открыть")</f>
        <v>открыть</v>
      </c>
    </row>
    <row r="286" spans="1:9" x14ac:dyDescent="0.25">
      <c r="A286" t="s">
        <v>1293</v>
      </c>
      <c r="B286" t="s">
        <v>1294</v>
      </c>
      <c r="C286" t="s">
        <v>763</v>
      </c>
      <c r="D286" s="8">
        <v>8</v>
      </c>
      <c r="E286" s="9">
        <v>806.59</v>
      </c>
      <c r="F286" s="8">
        <v>34</v>
      </c>
      <c r="G286" s="10"/>
      <c r="H286" s="9" t="str">
        <f>IF(G286="","",E286*G286)</f>
        <v/>
      </c>
      <c r="I286" s="11" t="str">
        <f>HYPERLINK("https://optomposuda.ru/product/kashpo-lace-3-9-l-podvesnoe","открыть")</f>
        <v>открыть</v>
      </c>
    </row>
    <row r="287" spans="1:9" x14ac:dyDescent="0.25">
      <c r="A287" t="s">
        <v>1295</v>
      </c>
      <c r="B287" t="s">
        <v>1296</v>
      </c>
      <c r="C287" t="s">
        <v>763</v>
      </c>
      <c r="D287" s="8">
        <v>36</v>
      </c>
      <c r="E287" s="9">
        <v>87.71</v>
      </c>
      <c r="F287" s="8">
        <v>150</v>
      </c>
      <c r="G287" s="10"/>
      <c r="H287" s="9" t="str">
        <f>IF(G287="","",E287*G287)</f>
        <v/>
      </c>
      <c r="I287" s="11" t="str">
        <f>HYPERLINK("https://optomposuda.ru/product/kashpo-linea-1-1-l","открыть")</f>
        <v>открыть</v>
      </c>
    </row>
    <row r="288" spans="1:9" x14ac:dyDescent="0.25">
      <c r="A288" t="s">
        <v>1297</v>
      </c>
      <c r="B288" t="s">
        <v>1298</v>
      </c>
      <c r="C288" t="s">
        <v>763</v>
      </c>
      <c r="D288" s="8">
        <v>24</v>
      </c>
      <c r="E288" s="9">
        <v>138.32</v>
      </c>
      <c r="F288" s="8">
        <v>158</v>
      </c>
      <c r="G288" s="10"/>
      <c r="H288" s="9" t="str">
        <f>IF(G288="","",E288*G288)</f>
        <v/>
      </c>
      <c r="I288" s="11" t="str">
        <f>HYPERLINK("https://optomposuda.ru/product/kashpo-linea-2-3-l","открыть")</f>
        <v>открыть</v>
      </c>
    </row>
    <row r="289" spans="1:9" x14ac:dyDescent="0.25">
      <c r="A289" t="s">
        <v>1299</v>
      </c>
      <c r="B289" t="s">
        <v>1300</v>
      </c>
      <c r="C289" t="s">
        <v>763</v>
      </c>
      <c r="D289" s="8">
        <v>12</v>
      </c>
      <c r="E289" s="9">
        <v>263.13</v>
      </c>
      <c r="F289" s="8">
        <v>163</v>
      </c>
      <c r="G289" s="10"/>
      <c r="H289" s="9" t="str">
        <f>IF(G289="","",E289*G289)</f>
        <v/>
      </c>
      <c r="I289" s="11" t="str">
        <f>HYPERLINK("https://optomposuda.ru/product/kashpo-linea-4-6-l","открыть")</f>
        <v>открыть</v>
      </c>
    </row>
    <row r="290" spans="1:9" x14ac:dyDescent="0.25">
      <c r="A290" t="s">
        <v>1301</v>
      </c>
      <c r="B290" t="s">
        <v>1302</v>
      </c>
      <c r="C290" t="s">
        <v>763</v>
      </c>
      <c r="D290" s="8">
        <v>12</v>
      </c>
      <c r="E290" s="9">
        <v>396.96</v>
      </c>
      <c r="F290" s="8">
        <v>99</v>
      </c>
      <c r="G290" s="10"/>
      <c r="H290" s="9" t="str">
        <f>IF(G290="","",E290*G290)</f>
        <v/>
      </c>
      <c r="I290" s="11" t="str">
        <f>HYPERLINK("https://optomposuda.ru/product/kashpo-linea-8-5-l","открыть")</f>
        <v>открыть</v>
      </c>
    </row>
    <row r="291" spans="1:9" x14ac:dyDescent="0.25">
      <c r="A291" t="s">
        <v>1303</v>
      </c>
      <c r="B291" t="s">
        <v>1304</v>
      </c>
      <c r="C291" t="s">
        <v>763</v>
      </c>
      <c r="D291" s="8">
        <v>1</v>
      </c>
      <c r="E291" s="9">
        <v>571.11</v>
      </c>
      <c r="F291" s="8">
        <v>14</v>
      </c>
      <c r="G291" s="10"/>
      <c r="H291" s="9" t="str">
        <f>IF(G291="","",E291*G291)</f>
        <v/>
      </c>
      <c r="I291" s="11" t="str">
        <f>HYPERLINK("https://optomposuda.ru/product/kashpo-luna-d395-mm","открыть")</f>
        <v>открыть</v>
      </c>
    </row>
    <row r="292" spans="1:9" x14ac:dyDescent="0.25">
      <c r="A292" t="s">
        <v>1305</v>
      </c>
      <c r="B292" t="s">
        <v>1306</v>
      </c>
      <c r="C292" t="s">
        <v>763</v>
      </c>
      <c r="D292" s="8">
        <v>4</v>
      </c>
      <c r="E292" s="9">
        <v>873.74</v>
      </c>
      <c r="F292" s="8">
        <v>14</v>
      </c>
      <c r="G292" s="10"/>
      <c r="H292" s="9" t="str">
        <f>IF(G292="","",E292*G292)</f>
        <v/>
      </c>
      <c r="I292" s="11" t="str">
        <f>HYPERLINK("https://optomposuda.ru/product/kashpo-luna-d435-mm","открыть")</f>
        <v>открыть</v>
      </c>
    </row>
    <row r="293" spans="1:9" x14ac:dyDescent="0.25">
      <c r="A293" t="s">
        <v>1307</v>
      </c>
      <c r="B293" t="s">
        <v>1308</v>
      </c>
      <c r="C293" t="s">
        <v>763</v>
      </c>
      <c r="D293" s="8">
        <v>1</v>
      </c>
      <c r="E293" s="9">
        <v>1633.55</v>
      </c>
      <c r="F293" s="8">
        <v>4</v>
      </c>
      <c r="G293" s="10"/>
      <c r="H293" s="9" t="str">
        <f>IF(G293="","",E293*G293)</f>
        <v/>
      </c>
      <c r="I293" s="11" t="str">
        <f>HYPERLINK("https://optomposuda.ru/product/kashpo-provence-kvadratnoe-43h43-sm","открыть")</f>
        <v>открыть</v>
      </c>
    </row>
    <row r="294" spans="1:9" x14ac:dyDescent="0.25">
      <c r="A294" t="s">
        <v>1309</v>
      </c>
      <c r="B294" t="s">
        <v>1310</v>
      </c>
      <c r="C294" t="s">
        <v>763</v>
      </c>
      <c r="D294" s="8">
        <v>2</v>
      </c>
      <c r="E294" s="9">
        <v>943.09</v>
      </c>
      <c r="F294" s="8">
        <v>9</v>
      </c>
      <c r="G294" s="10"/>
      <c r="H294" s="9" t="str">
        <f>IF(G294="","",E294*G294)</f>
        <v/>
      </c>
      <c r="I294" s="11" t="str">
        <f>HYPERLINK("https://optomposuda.ru/product/kashpo-sandy","открыть")</f>
        <v>открыть</v>
      </c>
    </row>
    <row r="295" spans="1:9" x14ac:dyDescent="0.25">
      <c r="A295" t="s">
        <v>1311</v>
      </c>
      <c r="B295" t="s">
        <v>1312</v>
      </c>
      <c r="C295" t="s">
        <v>763</v>
      </c>
      <c r="D295" s="8">
        <v>2</v>
      </c>
      <c r="E295" s="9">
        <v>739.92</v>
      </c>
      <c r="F295" s="8">
        <v>8</v>
      </c>
      <c r="G295" s="10"/>
      <c r="H295" s="9" t="str">
        <f>IF(G295="","",E295*G295)</f>
        <v/>
      </c>
      <c r="I295" s="11" t="str">
        <f>HYPERLINK("https://optomposuda.ru/product/kashpo-tocco-kvadratnoe-24-l-8-l","открыть")</f>
        <v>открыть</v>
      </c>
    </row>
    <row r="296" spans="1:9" x14ac:dyDescent="0.25">
      <c r="A296" t="s">
        <v>1313</v>
      </c>
      <c r="B296" t="s">
        <v>1314</v>
      </c>
      <c r="C296" t="s">
        <v>763</v>
      </c>
      <c r="D296" s="8">
        <v>2</v>
      </c>
      <c r="E296" s="9">
        <v>1154.87</v>
      </c>
      <c r="F296" s="8">
        <v>10</v>
      </c>
      <c r="G296" s="10"/>
      <c r="H296" s="9" t="str">
        <f>IF(G296="","",E296*G296)</f>
        <v/>
      </c>
      <c r="I296" s="11" t="str">
        <f>HYPERLINK("https://optomposuda.ru/product/kashpo-tocco-d390","открыть")</f>
        <v>открыть</v>
      </c>
    </row>
    <row r="297" spans="1:9" x14ac:dyDescent="0.25">
      <c r="A297" t="s">
        <v>1315</v>
      </c>
      <c r="B297" t="s">
        <v>1316</v>
      </c>
      <c r="C297" t="s">
        <v>763</v>
      </c>
      <c r="D297" s="8">
        <v>5</v>
      </c>
      <c r="E297" s="9">
        <v>652.21</v>
      </c>
      <c r="F297" s="8">
        <v>15</v>
      </c>
      <c r="G297" s="10"/>
      <c r="H297" s="9" t="str">
        <f>IF(G297="","",E297*G297)</f>
        <v/>
      </c>
      <c r="I297" s="11" t="str">
        <f>HYPERLINK("https://optomposuda.ru/product/kashpo-vinto-12-4-l","открыть")</f>
        <v>открыть</v>
      </c>
    </row>
    <row r="298" spans="1:9" x14ac:dyDescent="0.25">
      <c r="A298" t="s">
        <v>1317</v>
      </c>
      <c r="B298" t="s">
        <v>1318</v>
      </c>
      <c r="C298" t="s">
        <v>763</v>
      </c>
      <c r="D298" s="8">
        <v>5</v>
      </c>
      <c r="E298" s="9">
        <v>332.85</v>
      </c>
      <c r="F298" s="8">
        <v>13</v>
      </c>
      <c r="G298" s="10"/>
      <c r="H298" s="9" t="str">
        <f>IF(G298="","",E298*G298)</f>
        <v/>
      </c>
      <c r="I298" s="11" t="str">
        <f>HYPERLINK("https://optomposuda.ru/product/kashpo-vinto-5-4-l","открыть")</f>
        <v>открыть</v>
      </c>
    </row>
    <row r="299" spans="1:9" x14ac:dyDescent="0.25">
      <c r="A299" t="s">
        <v>1319</v>
      </c>
      <c r="B299" t="s">
        <v>1320</v>
      </c>
      <c r="C299" t="s">
        <v>763</v>
      </c>
      <c r="D299" s="8">
        <v>5</v>
      </c>
      <c r="E299" s="9">
        <v>511.65</v>
      </c>
      <c r="F299" s="8">
        <v>19</v>
      </c>
      <c r="G299" s="10"/>
      <c r="H299" s="9" t="str">
        <f>IF(G299="","",E299*G299)</f>
        <v/>
      </c>
      <c r="I299" s="11" t="str">
        <f>HYPERLINK("https://optomposuda.ru/product/kashpo-vinto-9-4-l","открыть")</f>
        <v>открыть</v>
      </c>
    </row>
    <row r="300" spans="1:9" x14ac:dyDescent="0.25">
      <c r="A300" t="s">
        <v>1321</v>
      </c>
      <c r="B300" t="s">
        <v>1322</v>
      </c>
      <c r="C300" t="s">
        <v>763</v>
      </c>
      <c r="D300" s="8">
        <v>36</v>
      </c>
      <c r="E300" s="9">
        <v>58.68</v>
      </c>
      <c r="F300" s="8">
        <v>529</v>
      </c>
      <c r="G300" s="10"/>
      <c r="H300" s="9" t="str">
        <f>IF(G300="","",E300*G300)</f>
        <v/>
      </c>
      <c r="I300" s="11" t="str">
        <f>HYPERLINK("https://optomposuda.ru/product/kashpo-dlya-orhidey-1-1-1-l","открыть")</f>
        <v>открыть</v>
      </c>
    </row>
    <row r="301" spans="1:9" x14ac:dyDescent="0.25">
      <c r="A301" t="s">
        <v>1323</v>
      </c>
      <c r="B301" t="s">
        <v>1324</v>
      </c>
      <c r="C301" t="s">
        <v>763</v>
      </c>
      <c r="D301" s="8">
        <v>24</v>
      </c>
      <c r="E301" s="9">
        <v>94.34</v>
      </c>
      <c r="F301" s="8">
        <v>464</v>
      </c>
      <c r="G301" s="10"/>
      <c r="H301" s="9" t="str">
        <f>IF(G301="","",E301*G301)</f>
        <v/>
      </c>
      <c r="I301" s="11" t="str">
        <f>HYPERLINK("https://optomposuda.ru/product/kashpo-dlya-orhidey-2-2-2-l","открыть")</f>
        <v>открыть</v>
      </c>
    </row>
    <row r="302" spans="1:9" x14ac:dyDescent="0.25">
      <c r="A302" t="s">
        <v>1325</v>
      </c>
      <c r="B302" t="s">
        <v>1326</v>
      </c>
      <c r="C302" t="s">
        <v>763</v>
      </c>
      <c r="D302" s="8">
        <v>6</v>
      </c>
      <c r="E302" s="9">
        <v>577.55</v>
      </c>
      <c r="F302" s="8">
        <v>25</v>
      </c>
      <c r="G302" s="10"/>
      <c r="H302" s="9" t="str">
        <f>IF(G302="","",E302*G302)</f>
        <v/>
      </c>
      <c r="I302" s="11" t="str">
        <f>HYPERLINK("https://optomposuda.ru/product/korzina-dlya-piknika-paola-25-l-cvet-v-assortimente","открыть")</f>
        <v>открыть</v>
      </c>
    </row>
    <row r="303" spans="1:9" x14ac:dyDescent="0.25">
      <c r="A303" t="s">
        <v>1327</v>
      </c>
      <c r="B303" t="s">
        <v>1328</v>
      </c>
      <c r="C303" t="s">
        <v>763</v>
      </c>
      <c r="D303" s="8">
        <v>48</v>
      </c>
      <c r="E303" s="9">
        <v>67.47</v>
      </c>
      <c r="F303" s="8">
        <v>352</v>
      </c>
      <c r="G303" s="10"/>
      <c r="H303" s="9" t="str">
        <f>IF(G303="","",E303*G303)</f>
        <v/>
      </c>
      <c r="I303" s="11" t="str">
        <f>HYPERLINK("https://optomposuda.ru/product/kruzhka-travel-0-6l-120-95-s-kryshkoy-cveta-v-assortimente","открыть")</f>
        <v>открыть</v>
      </c>
    </row>
    <row r="304" spans="1:9" x14ac:dyDescent="0.25">
      <c r="A304" t="s">
        <v>1329</v>
      </c>
      <c r="B304" t="s">
        <v>1330</v>
      </c>
      <c r="C304" t="s">
        <v>763</v>
      </c>
      <c r="D304" s="8">
        <v>30</v>
      </c>
      <c r="E304" s="9">
        <v>312.03</v>
      </c>
      <c r="F304" s="8">
        <v>76</v>
      </c>
      <c r="G304" s="10"/>
      <c r="H304" s="9" t="str">
        <f>IF(G304="","",E304*G304)</f>
        <v/>
      </c>
      <c r="I304" s="11" t="str">
        <f>HYPERLINK("https://optomposuda.ru/product/maslenka-nerzhaveyuschaya-stal-mn-199a","открыть")</f>
        <v>открыть</v>
      </c>
    </row>
    <row r="305" spans="1:9" x14ac:dyDescent="0.25">
      <c r="A305" t="s">
        <v>1331</v>
      </c>
      <c r="B305" t="s">
        <v>1332</v>
      </c>
      <c r="C305" t="s">
        <v>763</v>
      </c>
      <c r="D305" s="8">
        <v>60</v>
      </c>
      <c r="E305" s="9">
        <v>23.82</v>
      </c>
      <c r="F305" s="8">
        <v>104</v>
      </c>
      <c r="G305" s="10"/>
      <c r="H305" s="9" t="str">
        <f>IF(G305="","",E305*G305)</f>
        <v/>
      </c>
      <c r="I305" s="11" t="str">
        <f>HYPERLINK("https://optomposuda.ru/product/podveska-dlya-kashpo-flaviya-1-4-l-i-2-5-l","открыть")</f>
        <v>открыть</v>
      </c>
    </row>
    <row r="306" spans="1:9" x14ac:dyDescent="0.25">
      <c r="A306" t="s">
        <v>1333</v>
      </c>
      <c r="B306" t="s">
        <v>1334</v>
      </c>
      <c r="C306" t="s">
        <v>763</v>
      </c>
      <c r="D306" s="8">
        <v>16</v>
      </c>
      <c r="E306" s="9">
        <v>305.95</v>
      </c>
      <c r="F306" s="8">
        <v>59</v>
      </c>
      <c r="G306" s="10"/>
      <c r="H306" s="9" t="str">
        <f>IF(G306="","",E306*G306)</f>
        <v/>
      </c>
      <c r="I306" s="11" t="str">
        <f>HYPERLINK("https://optomposuda.ru/product/sumka-universal","открыть")</f>
        <v>открыть</v>
      </c>
    </row>
    <row r="307" spans="1:9" x14ac:dyDescent="0.25">
      <c r="A307" t="s">
        <v>1335</v>
      </c>
      <c r="B307" t="s">
        <v>1336</v>
      </c>
      <c r="C307" t="s">
        <v>763</v>
      </c>
      <c r="D307" s="8">
        <v>24</v>
      </c>
      <c r="E307" s="9">
        <v>190.37</v>
      </c>
      <c r="F307" s="8">
        <v>26</v>
      </c>
      <c r="G307" s="10"/>
      <c r="H307" s="9" t="str">
        <f>IF(G307="","",E307*G307)</f>
        <v/>
      </c>
      <c r="I307" s="11" t="str">
        <f>HYPERLINK("https://optomposuda.ru/product/sumka-ariana-universalnaya-malaya","открыть")</f>
        <v>открыть</v>
      </c>
    </row>
    <row r="308" spans="1:9" x14ac:dyDescent="0.25">
      <c r="A308" t="s">
        <v>1337</v>
      </c>
      <c r="B308" t="s">
        <v>1338</v>
      </c>
      <c r="C308" t="s">
        <v>763</v>
      </c>
      <c r="D308" s="8">
        <v>24</v>
      </c>
      <c r="E308" s="9">
        <v>140.79</v>
      </c>
      <c r="F308" s="8">
        <v>100</v>
      </c>
      <c r="G308" s="10"/>
      <c r="H308" s="9" t="str">
        <f>IF(G308="","",E308*G308)</f>
        <v/>
      </c>
      <c r="I308" s="11" t="str">
        <f>HYPERLINK("https://optomposuda.ru/product/cherenok-120-sm-plastikovyy-prorezinennyy","открыть")</f>
        <v>открыть</v>
      </c>
    </row>
    <row r="309" spans="1:9" x14ac:dyDescent="0.25">
      <c r="A309" s="7" t="s">
        <v>145</v>
      </c>
      <c r="B309" s="7"/>
      <c r="C309" s="7"/>
      <c r="D309" s="7"/>
      <c r="E309" s="7"/>
      <c r="F309" s="7"/>
      <c r="G309" s="7"/>
      <c r="H309" s="7"/>
      <c r="I309" s="7"/>
    </row>
    <row r="310" spans="1:9" x14ac:dyDescent="0.25">
      <c r="A310" t="s">
        <v>1339</v>
      </c>
      <c r="B310" t="s">
        <v>1340</v>
      </c>
      <c r="C310" t="s">
        <v>763</v>
      </c>
      <c r="D310" s="8">
        <v>40</v>
      </c>
      <c r="E310" s="9">
        <v>65.77</v>
      </c>
      <c r="F310" s="8">
        <v>279</v>
      </c>
      <c r="G310" s="10"/>
      <c r="H310" s="9" t="str">
        <f>IF(G310="","",E310*G310)</f>
        <v/>
      </c>
      <c r="I310" s="11" t="str">
        <f>HYPERLINK("https://optomposuda.ru/product/kovsh-eco-1-25-l","открыть")</f>
        <v>открыть</v>
      </c>
    </row>
    <row r="311" spans="1:9" x14ac:dyDescent="0.25">
      <c r="A311" t="s">
        <v>1341</v>
      </c>
      <c r="B311" t="s">
        <v>1342</v>
      </c>
      <c r="C311" t="s">
        <v>763</v>
      </c>
      <c r="D311" s="8">
        <v>12</v>
      </c>
      <c r="E311" s="9">
        <v>128.19</v>
      </c>
      <c r="F311" s="8">
        <v>12</v>
      </c>
      <c r="G311" s="10"/>
      <c r="H311" s="9" t="str">
        <f>IF(G311="","",E311*G311)</f>
        <v/>
      </c>
      <c r="I311" s="11" t="str">
        <f>HYPERLINK("https://optomposuda.ru/product/kovsh-flexy-1-2-l-skladnoy","открыть")</f>
        <v>открыть</v>
      </c>
    </row>
    <row r="312" spans="1:9" x14ac:dyDescent="0.25">
      <c r="A312" t="s">
        <v>1343</v>
      </c>
      <c r="B312" t="s">
        <v>1344</v>
      </c>
      <c r="C312" t="s">
        <v>763</v>
      </c>
      <c r="D312" s="8">
        <v>60</v>
      </c>
      <c r="E312" s="9">
        <v>88.84</v>
      </c>
      <c r="F312" s="8">
        <v>99</v>
      </c>
      <c r="G312" s="10"/>
      <c r="H312" s="9" t="str">
        <f>IF(G312="","",E312*G312)</f>
        <v/>
      </c>
      <c r="I312" s="11" t="str">
        <f>HYPERLINK("https://optomposuda.ru/product/kryshka-dlya-svch-layt-250h113-s-2mya-klapanami","открыть")</f>
        <v>открыть</v>
      </c>
    </row>
    <row r="313" spans="1:9" x14ac:dyDescent="0.25">
      <c r="A313" t="s">
        <v>1345</v>
      </c>
      <c r="B313" t="s">
        <v>1346</v>
      </c>
      <c r="C313" t="s">
        <v>763</v>
      </c>
      <c r="D313" s="8">
        <v>40</v>
      </c>
      <c r="E313" s="9">
        <v>96.79</v>
      </c>
      <c r="F313" s="8">
        <v>128</v>
      </c>
      <c r="G313" s="10"/>
      <c r="H313" s="9" t="str">
        <f>IF(G313="","",E313*G313)</f>
        <v/>
      </c>
      <c r="I313" s="11" t="str">
        <f>HYPERLINK("https://optomposuda.ru/product/kryshka-dlya-svch-layt-290-147-s-2mya-klapanami","открыть")</f>
        <v>открыть</v>
      </c>
    </row>
    <row r="314" spans="1:9" x14ac:dyDescent="0.25">
      <c r="A314" s="7" t="s">
        <v>74</v>
      </c>
      <c r="B314" s="7"/>
      <c r="C314" s="7"/>
      <c r="D314" s="7"/>
      <c r="E314" s="7"/>
      <c r="F314" s="7"/>
      <c r="G314" s="7"/>
      <c r="H314" s="7"/>
      <c r="I314" s="7"/>
    </row>
    <row r="315" spans="1:9" x14ac:dyDescent="0.25">
      <c r="A315" t="s">
        <v>1347</v>
      </c>
      <c r="B315" t="s">
        <v>1348</v>
      </c>
      <c r="C315" t="s">
        <v>763</v>
      </c>
      <c r="D315" s="8">
        <v>24</v>
      </c>
      <c r="E315" s="9">
        <v>69.03</v>
      </c>
      <c r="F315" s="8">
        <v>26</v>
      </c>
      <c r="G315" s="10"/>
      <c r="H315" s="9" t="str">
        <f>IF(G315="","",E315*G315)</f>
        <v/>
      </c>
      <c r="I315" s="11" t="str">
        <f>HYPERLINK("https://optomposuda.ru/product/emkost-dlya-masla-0-5-l","открыть")</f>
        <v>открыть</v>
      </c>
    </row>
    <row r="316" spans="1:9" x14ac:dyDescent="0.25">
      <c r="A316" t="s">
        <v>1349</v>
      </c>
      <c r="B316" t="s">
        <v>1350</v>
      </c>
      <c r="C316" t="s">
        <v>763</v>
      </c>
      <c r="D316" s="8">
        <v>24</v>
      </c>
      <c r="E316" s="9">
        <v>88.6</v>
      </c>
      <c r="F316" s="8">
        <v>43</v>
      </c>
      <c r="G316" s="10"/>
      <c r="H316" s="9" t="str">
        <f>IF(G316="","",E316*G316)</f>
        <v/>
      </c>
      <c r="I316" s="11" t="str">
        <f>HYPERLINK("https://optomposuda.ru/product/emkost-dlya-masla-0-75-l","открыть")</f>
        <v>открыть</v>
      </c>
    </row>
    <row r="317" spans="1:9" x14ac:dyDescent="0.25">
      <c r="A317" t="s">
        <v>1351</v>
      </c>
      <c r="B317" t="s">
        <v>1352</v>
      </c>
      <c r="C317" t="s">
        <v>763</v>
      </c>
      <c r="D317" s="8">
        <v>24</v>
      </c>
      <c r="E317" s="9">
        <v>108.15</v>
      </c>
      <c r="F317" s="8">
        <v>33</v>
      </c>
      <c r="G317" s="10"/>
      <c r="H317" s="9" t="str">
        <f>IF(G317="","",E317*G317)</f>
        <v/>
      </c>
      <c r="I317" s="11" t="str">
        <f>HYPERLINK("https://optomposuda.ru/product/emkost-dlya-masla-1-0-l","открыть")</f>
        <v>открыть</v>
      </c>
    </row>
    <row r="318" spans="1:9" x14ac:dyDescent="0.25">
      <c r="A318" t="s">
        <v>1353</v>
      </c>
      <c r="B318" t="s">
        <v>1354</v>
      </c>
      <c r="C318" t="s">
        <v>763</v>
      </c>
      <c r="D318" s="8">
        <v>90</v>
      </c>
      <c r="E318" s="9">
        <v>43.06</v>
      </c>
      <c r="F318" s="8">
        <v>168</v>
      </c>
      <c r="G318" s="10"/>
      <c r="H318" s="9" t="str">
        <f>IF(G318="","",E318*G318)</f>
        <v/>
      </c>
      <c r="I318" s="11" t="str">
        <f>HYPERLINK("https://optomposuda.ru/product/emkost-dlya-sousa-0-4-l-cveta-v-assortimente","открыть")</f>
        <v>открыть</v>
      </c>
    </row>
    <row r="319" spans="1:9" x14ac:dyDescent="0.25">
      <c r="A319" t="s">
        <v>1355</v>
      </c>
      <c r="B319" t="s">
        <v>1356</v>
      </c>
      <c r="C319" t="s">
        <v>763</v>
      </c>
      <c r="D319" s="8">
        <v>72</v>
      </c>
      <c r="E319" s="9">
        <v>50.62</v>
      </c>
      <c r="F319" s="8">
        <v>197</v>
      </c>
      <c r="G319" s="10"/>
      <c r="H319" s="9" t="str">
        <f>IF(G319="","",E319*G319)</f>
        <v/>
      </c>
      <c r="I319" s="11" t="str">
        <f>HYPERLINK("https://optomposuda.ru/product/emkost-dlya-sousa-0-7-l-cveta-v-assortimente","открыть")</f>
        <v>открыть</v>
      </c>
    </row>
    <row r="320" spans="1:9" x14ac:dyDescent="0.25">
      <c r="A320" t="s">
        <v>1357</v>
      </c>
      <c r="B320" t="s">
        <v>1358</v>
      </c>
      <c r="C320" t="s">
        <v>763</v>
      </c>
      <c r="D320" s="8">
        <v>60</v>
      </c>
      <c r="E320" s="9">
        <v>52.91</v>
      </c>
      <c r="F320" s="8">
        <v>11</v>
      </c>
      <c r="G320" s="10"/>
      <c r="H320" s="9" t="str">
        <f>IF(G320="","",E320*G320)</f>
        <v/>
      </c>
      <c r="I320" s="11" t="str">
        <f>HYPERLINK("https://optomposuda.ru/product/kruzhka-s-risunkom-bambini-0-5-l","открыть")</f>
        <v>открыть</v>
      </c>
    </row>
    <row r="321" spans="1:9" x14ac:dyDescent="0.25">
      <c r="A321" t="s">
        <v>1359</v>
      </c>
      <c r="B321" t="s">
        <v>1360</v>
      </c>
      <c r="C321" t="s">
        <v>763</v>
      </c>
      <c r="D321" s="8">
        <v>60</v>
      </c>
      <c r="E321" s="9">
        <v>52.91</v>
      </c>
      <c r="F321" s="8">
        <v>80</v>
      </c>
      <c r="G321" s="10"/>
      <c r="H321" s="9" t="str">
        <f>IF(G321="","",E321*G321)</f>
        <v/>
      </c>
      <c r="I321" s="11" t="str">
        <f>HYPERLINK("https://optomposuda.ru/product/kruzhka-s-risunkom-decor-0-5-l","открыть")</f>
        <v>открыть</v>
      </c>
    </row>
    <row r="322" spans="1:9" x14ac:dyDescent="0.25">
      <c r="A322" t="s">
        <v>1361</v>
      </c>
      <c r="B322" t="s">
        <v>1362</v>
      </c>
      <c r="C322" t="s">
        <v>763</v>
      </c>
      <c r="D322" s="8">
        <v>45</v>
      </c>
      <c r="E322" s="9">
        <v>51.78</v>
      </c>
      <c r="F322" s="8">
        <v>1</v>
      </c>
      <c r="G322" s="10"/>
      <c r="H322" s="9" t="str">
        <f>IF(G322="","",E322*G322)</f>
        <v/>
      </c>
      <c r="I322" s="11" t="str">
        <f>HYPERLINK("https://optomposuda.ru/product/kruzhka-s-risunkom-decor-1-l","открыть")</f>
        <v>открыть</v>
      </c>
    </row>
    <row r="323" spans="1:9" x14ac:dyDescent="0.25">
      <c r="A323" t="s">
        <v>1363</v>
      </c>
      <c r="B323" t="s">
        <v>1364</v>
      </c>
      <c r="C323" t="s">
        <v>763</v>
      </c>
      <c r="D323" s="8">
        <v>24</v>
      </c>
      <c r="E323" s="9">
        <v>134.97</v>
      </c>
      <c r="F323" s="8">
        <v>61</v>
      </c>
      <c r="G323" s="10"/>
      <c r="H323" s="9" t="str">
        <f>IF(G323="","",E323*G323)</f>
        <v/>
      </c>
      <c r="I323" s="11" t="str">
        <f>HYPERLINK("https://optomposuda.ru/product/kuvshin-kumgan-2-4l","открыть")</f>
        <v>открыть</v>
      </c>
    </row>
    <row r="324" spans="1:9" x14ac:dyDescent="0.25">
      <c r="A324" t="s">
        <v>1365</v>
      </c>
      <c r="B324" t="s">
        <v>1366</v>
      </c>
      <c r="C324" t="s">
        <v>763</v>
      </c>
      <c r="D324" s="8">
        <v>40</v>
      </c>
      <c r="E324" s="9">
        <v>96.58</v>
      </c>
      <c r="F324" s="8">
        <v>458</v>
      </c>
      <c r="G324" s="10"/>
      <c r="H324" s="9" t="str">
        <f>IF(G324="","",E324*G324)</f>
        <v/>
      </c>
      <c r="I324" s="11" t="str">
        <f>HYPERLINK("https://optomposuda.ru/product/maslenka-180h105h71","открыть")</f>
        <v>открыть</v>
      </c>
    </row>
    <row r="325" spans="1:9" x14ac:dyDescent="0.25">
      <c r="A325" t="s">
        <v>1367</v>
      </c>
      <c r="B325" t="s">
        <v>1368</v>
      </c>
      <c r="C325" t="s">
        <v>763</v>
      </c>
      <c r="D325" s="8">
        <v>100</v>
      </c>
      <c r="E325" s="9">
        <v>47.16</v>
      </c>
      <c r="F325" s="8">
        <v>5</v>
      </c>
      <c r="G325" s="10"/>
      <c r="H325" s="9" t="str">
        <f>IF(G325="","",E325*G325)</f>
        <v/>
      </c>
      <c r="I325" s="11" t="str">
        <f>HYPERLINK("https://optomposuda.ru/product/miska-karamel-1-5-l","открыть")</f>
        <v>открыть</v>
      </c>
    </row>
    <row r="326" spans="1:9" x14ac:dyDescent="0.25">
      <c r="A326" t="s">
        <v>1369</v>
      </c>
      <c r="B326" t="s">
        <v>1370</v>
      </c>
      <c r="C326" t="s">
        <v>763</v>
      </c>
      <c r="D326" s="8">
        <v>200</v>
      </c>
      <c r="E326" s="9">
        <v>34.52</v>
      </c>
      <c r="F326" s="8">
        <v>136</v>
      </c>
      <c r="G326" s="10"/>
      <c r="H326" s="9" t="str">
        <f>IF(G326="","",E326*G326)</f>
        <v/>
      </c>
      <c r="I326" s="11" t="str">
        <f>HYPERLINK("https://optomposuda.ru/product/miska-selena-1-l","открыть")</f>
        <v>открыть</v>
      </c>
    </row>
    <row r="327" spans="1:9" x14ac:dyDescent="0.25">
      <c r="A327" t="s">
        <v>1371</v>
      </c>
      <c r="B327" t="s">
        <v>1372</v>
      </c>
      <c r="C327" t="s">
        <v>763</v>
      </c>
      <c r="D327" s="8">
        <v>160</v>
      </c>
      <c r="E327" s="9">
        <v>42.58</v>
      </c>
      <c r="F327" s="8">
        <v>349</v>
      </c>
      <c r="G327" s="10"/>
      <c r="H327" s="9" t="str">
        <f>IF(G327="","",E327*G327)</f>
        <v/>
      </c>
      <c r="I327" s="11" t="str">
        <f>HYPERLINK("https://optomposuda.ru/product/miska-selena-1-5-l","открыть")</f>
        <v>открыть</v>
      </c>
    </row>
    <row r="328" spans="1:9" x14ac:dyDescent="0.25">
      <c r="A328" t="s">
        <v>1373</v>
      </c>
      <c r="B328" t="s">
        <v>1374</v>
      </c>
      <c r="C328" t="s">
        <v>763</v>
      </c>
      <c r="D328" s="8">
        <v>40</v>
      </c>
      <c r="E328" s="9">
        <v>131.48</v>
      </c>
      <c r="F328" s="8">
        <v>79</v>
      </c>
      <c r="G328" s="10"/>
      <c r="H328" s="9" t="str">
        <f>IF(G328="","",E328*G328)</f>
        <v/>
      </c>
      <c r="I328" s="11" t="str">
        <f>HYPERLINK("https://optomposuda.ru/product/miska-selena-10-l","открыть")</f>
        <v>открыть</v>
      </c>
    </row>
    <row r="329" spans="1:9" x14ac:dyDescent="0.25">
      <c r="A329" t="s">
        <v>1375</v>
      </c>
      <c r="B329" t="s">
        <v>1376</v>
      </c>
      <c r="C329" t="s">
        <v>763</v>
      </c>
      <c r="D329" s="8">
        <v>30</v>
      </c>
      <c r="E329" s="9">
        <v>157.61</v>
      </c>
      <c r="F329" s="8">
        <v>21</v>
      </c>
      <c r="G329" s="10"/>
      <c r="H329" s="9" t="str">
        <f>IF(G329="","",E329*G329)</f>
        <v/>
      </c>
      <c r="I329" s="11" t="str">
        <f>HYPERLINK("https://optomposuda.ru/product/miska-selena-15-l","открыть")</f>
        <v>открыть</v>
      </c>
    </row>
    <row r="330" spans="1:9" x14ac:dyDescent="0.25">
      <c r="A330" t="s">
        <v>1377</v>
      </c>
      <c r="B330" t="s">
        <v>1378</v>
      </c>
      <c r="C330" t="s">
        <v>763</v>
      </c>
      <c r="D330" s="8">
        <v>80</v>
      </c>
      <c r="E330" s="9">
        <v>51.73</v>
      </c>
      <c r="F330" s="8">
        <v>354</v>
      </c>
      <c r="G330" s="10"/>
      <c r="H330" s="9" t="str">
        <f>IF(G330="","",E330*G330)</f>
        <v/>
      </c>
      <c r="I330" s="11" t="str">
        <f>HYPERLINK("https://optomposuda.ru/product/miska-selena-2-5-l","открыть")</f>
        <v>открыть</v>
      </c>
    </row>
    <row r="331" spans="1:9" x14ac:dyDescent="0.25">
      <c r="A331" t="s">
        <v>1379</v>
      </c>
      <c r="B331" t="s">
        <v>1380</v>
      </c>
      <c r="C331" t="s">
        <v>763</v>
      </c>
      <c r="D331" s="8">
        <v>80</v>
      </c>
      <c r="E331" s="9">
        <v>64.43</v>
      </c>
      <c r="F331" s="8">
        <v>332</v>
      </c>
      <c r="G331" s="10"/>
      <c r="H331" s="9" t="str">
        <f>IF(G331="","",E331*G331)</f>
        <v/>
      </c>
      <c r="I331" s="11" t="str">
        <f>HYPERLINK("https://optomposuda.ru/product/miska-selena-4-5-l","открыть")</f>
        <v>открыть</v>
      </c>
    </row>
    <row r="332" spans="1:9" x14ac:dyDescent="0.25">
      <c r="A332" t="s">
        <v>1381</v>
      </c>
      <c r="B332" t="s">
        <v>1382</v>
      </c>
      <c r="C332" t="s">
        <v>763</v>
      </c>
      <c r="D332" s="8">
        <v>60</v>
      </c>
      <c r="E332" s="9">
        <v>96.64</v>
      </c>
      <c r="F332" s="8">
        <v>103</v>
      </c>
      <c r="G332" s="10"/>
      <c r="H332" s="9" t="str">
        <f>IF(G332="","",E332*G332)</f>
        <v/>
      </c>
      <c r="I332" s="11" t="str">
        <f>HYPERLINK("https://optomposuda.ru/product/miska-selena-7-l","открыть")</f>
        <v>открыть</v>
      </c>
    </row>
    <row r="333" spans="1:9" x14ac:dyDescent="0.25">
      <c r="A333" t="s">
        <v>1383</v>
      </c>
      <c r="B333" t="s">
        <v>1384</v>
      </c>
      <c r="C333" t="s">
        <v>763</v>
      </c>
      <c r="D333" s="8">
        <v>36</v>
      </c>
      <c r="E333" s="9">
        <v>142.91</v>
      </c>
      <c r="F333" s="8">
        <v>33</v>
      </c>
      <c r="G333" s="10"/>
      <c r="H333" s="9" t="str">
        <f>IF(G333="","",E333*G333)</f>
        <v/>
      </c>
      <c r="I333" s="11" t="str">
        <f>HYPERLINK("https://optomposuda.ru/product/miska-mix-10-l-s-dekorom","открыть")</f>
        <v>открыть</v>
      </c>
    </row>
    <row r="334" spans="1:9" x14ac:dyDescent="0.25">
      <c r="A334" t="s">
        <v>1385</v>
      </c>
      <c r="B334" t="s">
        <v>1386</v>
      </c>
      <c r="C334" t="s">
        <v>763</v>
      </c>
      <c r="D334" s="8">
        <v>30</v>
      </c>
      <c r="E334" s="9">
        <v>186.73</v>
      </c>
      <c r="F334" s="8">
        <v>53</v>
      </c>
      <c r="G334" s="10"/>
      <c r="H334" s="9" t="str">
        <f>IF(G334="","",E334*G334)</f>
        <v/>
      </c>
      <c r="I334" s="11" t="str">
        <f>HYPERLINK("https://optomposuda.ru/product/miska-mix-15-l-s-dekorom","открыть")</f>
        <v>открыть</v>
      </c>
    </row>
    <row r="335" spans="1:9" x14ac:dyDescent="0.25">
      <c r="A335" t="s">
        <v>1387</v>
      </c>
      <c r="B335" t="s">
        <v>1388</v>
      </c>
      <c r="C335" t="s">
        <v>763</v>
      </c>
      <c r="D335" s="8">
        <v>96</v>
      </c>
      <c r="E335" s="9">
        <v>57.02</v>
      </c>
      <c r="F335" s="8">
        <v>504</v>
      </c>
      <c r="G335" s="10"/>
      <c r="H335" s="9" t="str">
        <f>IF(G335="","",E335*G335)</f>
        <v/>
      </c>
      <c r="I335" s="11" t="str">
        <f>HYPERLINK("https://optomposuda.ru/product/miska-twist-0-35-l","открыть")</f>
        <v>открыть</v>
      </c>
    </row>
    <row r="336" spans="1:9" x14ac:dyDescent="0.25">
      <c r="A336" t="s">
        <v>1389</v>
      </c>
      <c r="B336" t="s">
        <v>1390</v>
      </c>
      <c r="C336" t="s">
        <v>763</v>
      </c>
      <c r="D336" s="8">
        <v>72</v>
      </c>
      <c r="E336" s="9">
        <v>72.49</v>
      </c>
      <c r="F336" s="8">
        <v>418</v>
      </c>
      <c r="G336" s="10"/>
      <c r="H336" s="9" t="str">
        <f>IF(G336="","",E336*G336)</f>
        <v/>
      </c>
      <c r="I336" s="11" t="str">
        <f>HYPERLINK("https://optomposuda.ru/product/miska-twist-0-75-l","открыть")</f>
        <v>открыть</v>
      </c>
    </row>
    <row r="337" spans="1:9" x14ac:dyDescent="0.25">
      <c r="A337" t="s">
        <v>1391</v>
      </c>
      <c r="B337" t="s">
        <v>1392</v>
      </c>
      <c r="C337" t="s">
        <v>763</v>
      </c>
      <c r="D337" s="8">
        <v>48</v>
      </c>
      <c r="E337" s="9">
        <v>109.3</v>
      </c>
      <c r="F337" s="8">
        <v>397</v>
      </c>
      <c r="G337" s="10"/>
      <c r="H337" s="9" t="str">
        <f>IF(G337="","",E337*G337)</f>
        <v/>
      </c>
      <c r="I337" s="11" t="str">
        <f>HYPERLINK("https://optomposuda.ru/product/miska-twist-1-5-l","открыть")</f>
        <v>открыть</v>
      </c>
    </row>
    <row r="338" spans="1:9" x14ac:dyDescent="0.25">
      <c r="A338" t="s">
        <v>1393</v>
      </c>
      <c r="B338" t="s">
        <v>1394</v>
      </c>
      <c r="C338" t="s">
        <v>763</v>
      </c>
      <c r="D338" s="8">
        <v>24</v>
      </c>
      <c r="E338" s="9">
        <v>167.97</v>
      </c>
      <c r="F338" s="8">
        <v>309</v>
      </c>
      <c r="G338" s="10"/>
      <c r="H338" s="9" t="str">
        <f>IF(G338="","",E338*G338)</f>
        <v/>
      </c>
      <c r="I338" s="11" t="str">
        <f>HYPERLINK("https://optomposuda.ru/product/miska-twist-3-l","открыть")</f>
        <v>открыть</v>
      </c>
    </row>
    <row r="339" spans="1:9" x14ac:dyDescent="0.25">
      <c r="A339" t="s">
        <v>1395</v>
      </c>
      <c r="B339" t="s">
        <v>1396</v>
      </c>
      <c r="C339" t="s">
        <v>763</v>
      </c>
      <c r="D339" s="8">
        <v>120</v>
      </c>
      <c r="E339" s="9">
        <v>46.22</v>
      </c>
      <c r="F339" s="8">
        <v>1</v>
      </c>
      <c r="G339" s="10"/>
      <c r="H339" s="9" t="str">
        <f>IF(G339="","",E339*G339)</f>
        <v/>
      </c>
      <c r="I339" s="11" t="str">
        <f>HYPERLINK("https://optomposuda.ru/product/miska-3-2-5-l-s-risunkom","открыть")</f>
        <v>открыть</v>
      </c>
    </row>
    <row r="340" spans="1:9" x14ac:dyDescent="0.25">
      <c r="A340" t="s">
        <v>1397</v>
      </c>
      <c r="B340" t="s">
        <v>1398</v>
      </c>
      <c r="C340" t="s">
        <v>763</v>
      </c>
      <c r="D340" s="8">
        <v>80</v>
      </c>
      <c r="E340" s="9">
        <v>63.7</v>
      </c>
      <c r="F340" s="8">
        <v>293</v>
      </c>
      <c r="G340" s="10"/>
      <c r="H340" s="9" t="str">
        <f>IF(G340="","",E340*G340)</f>
        <v/>
      </c>
      <c r="I340" s="11" t="str">
        <f>HYPERLINK("https://optomposuda.ru/product/miska-4-4-5-l-s-risunkom","открыть")</f>
        <v>открыть</v>
      </c>
    </row>
    <row r="341" spans="1:9" x14ac:dyDescent="0.25">
      <c r="A341" t="s">
        <v>1399</v>
      </c>
      <c r="B341" t="s">
        <v>1400</v>
      </c>
      <c r="C341" t="s">
        <v>763</v>
      </c>
      <c r="D341" s="8">
        <v>30</v>
      </c>
      <c r="E341" s="9">
        <v>186.61</v>
      </c>
      <c r="F341" s="8">
        <v>10</v>
      </c>
      <c r="G341" s="10"/>
      <c r="H341" s="9" t="str">
        <f>IF(G341="","",E341*G341)</f>
        <v/>
      </c>
      <c r="I341" s="11" t="str">
        <f>HYPERLINK("https://optomposuda.ru/product/miska-7-s-risunkom-15-l","открыть")</f>
        <v>открыть</v>
      </c>
    </row>
    <row r="342" spans="1:9" x14ac:dyDescent="0.25">
      <c r="A342" t="s">
        <v>1401</v>
      </c>
      <c r="B342" t="s">
        <v>1402</v>
      </c>
      <c r="C342" t="s">
        <v>763</v>
      </c>
      <c r="D342" s="8">
        <v>24</v>
      </c>
      <c r="E342" s="9">
        <v>257.71</v>
      </c>
      <c r="F342" s="8">
        <v>43</v>
      </c>
      <c r="G342" s="10"/>
      <c r="H342" s="9" t="str">
        <f>IF(G342="","",E342*G342)</f>
        <v/>
      </c>
      <c r="I342" s="11" t="str">
        <f>HYPERLINK("https://optomposuda.ru/product/podnos-retro-474h355h21-bez-risunka","открыть")</f>
        <v>открыть</v>
      </c>
    </row>
    <row r="343" spans="1:9" x14ac:dyDescent="0.25">
      <c r="A343" t="s">
        <v>1403</v>
      </c>
      <c r="B343" t="s">
        <v>1404</v>
      </c>
      <c r="C343" t="s">
        <v>763</v>
      </c>
      <c r="D343" s="8">
        <v>25</v>
      </c>
      <c r="E343" s="9">
        <v>217.16</v>
      </c>
      <c r="F343" s="8">
        <v>78</v>
      </c>
      <c r="G343" s="10"/>
      <c r="H343" s="9" t="str">
        <f>IF(G343="","",E343*G343)</f>
        <v/>
      </c>
      <c r="I343" s="11" t="str">
        <f>HYPERLINK("https://optomposuda.ru/product/podnos-retro-474h355h21-s-risunkom","открыть")</f>
        <v>открыть</v>
      </c>
    </row>
    <row r="344" spans="1:9" x14ac:dyDescent="0.25">
      <c r="A344" t="s">
        <v>1405</v>
      </c>
      <c r="B344" t="s">
        <v>1406</v>
      </c>
      <c r="C344" t="s">
        <v>763</v>
      </c>
      <c r="D344" s="8">
        <v>12</v>
      </c>
      <c r="E344" s="9">
        <v>337.35</v>
      </c>
      <c r="F344" s="8">
        <v>48</v>
      </c>
      <c r="G344" s="10"/>
      <c r="H344" s="9" t="str">
        <f>IF(G344="","",E344*G344)</f>
        <v/>
      </c>
      <c r="I344" s="11" t="str">
        <f>HYPERLINK("https://optomposuda.ru/product/podnos-no-slip-460h360h23","открыть")</f>
        <v>открыть</v>
      </c>
    </row>
    <row r="345" spans="1:9" x14ac:dyDescent="0.25">
      <c r="A345" t="s">
        <v>1407</v>
      </c>
      <c r="B345" t="s">
        <v>1408</v>
      </c>
      <c r="C345" t="s">
        <v>763</v>
      </c>
      <c r="D345" s="8">
        <v>20</v>
      </c>
      <c r="E345" s="9">
        <v>199.73</v>
      </c>
      <c r="F345" s="8">
        <v>1</v>
      </c>
      <c r="G345" s="10"/>
      <c r="H345" s="9" t="str">
        <f>IF(G345="","",E345*G345)</f>
        <v/>
      </c>
      <c r="I345" s="11" t="str">
        <f>HYPERLINK("https://optomposuda.ru/product/podnos-s-ruchkami-bolshoy-495h325h50","открыть")</f>
        <v>открыть</v>
      </c>
    </row>
    <row r="346" spans="1:9" x14ac:dyDescent="0.25">
      <c r="A346" t="s">
        <v>1409</v>
      </c>
      <c r="B346" t="s">
        <v>1410</v>
      </c>
      <c r="C346" t="s">
        <v>763</v>
      </c>
      <c r="D346" s="8">
        <v>40</v>
      </c>
      <c r="E346" s="9">
        <v>54.69</v>
      </c>
      <c r="F346" s="8">
        <v>40</v>
      </c>
      <c r="G346" s="10"/>
      <c r="H346" s="9" t="str">
        <f>IF(G346="","",E346*G346)</f>
        <v/>
      </c>
      <c r="I346" s="11" t="str">
        <f>HYPERLINK("https://optomposuda.ru/product/salatnica-kristall-1-l-180h67-plastik","открыть")</f>
        <v>открыть</v>
      </c>
    </row>
    <row r="347" spans="1:9" x14ac:dyDescent="0.25">
      <c r="A347" t="s">
        <v>1411</v>
      </c>
      <c r="B347" t="s">
        <v>1412</v>
      </c>
      <c r="C347" t="s">
        <v>763</v>
      </c>
      <c r="D347" s="8">
        <v>40</v>
      </c>
      <c r="E347" s="9">
        <v>82.1</v>
      </c>
      <c r="F347" s="8">
        <v>95</v>
      </c>
      <c r="G347" s="10"/>
      <c r="H347" s="9" t="str">
        <f>IF(G347="","",E347*G347)</f>
        <v/>
      </c>
      <c r="I347" s="11" t="str">
        <f>HYPERLINK("https://optomposuda.ru/product/salatnica-kristall-1-7-l","открыть")</f>
        <v>открыть</v>
      </c>
    </row>
    <row r="348" spans="1:9" x14ac:dyDescent="0.25">
      <c r="A348" t="s">
        <v>1413</v>
      </c>
      <c r="B348" t="s">
        <v>1414</v>
      </c>
      <c r="C348" t="s">
        <v>763</v>
      </c>
      <c r="D348" s="8">
        <v>20</v>
      </c>
      <c r="E348" s="9">
        <v>105.7</v>
      </c>
      <c r="F348" s="8">
        <v>56</v>
      </c>
      <c r="G348" s="10"/>
      <c r="H348" s="9" t="str">
        <f>IF(G348="","",E348*G348)</f>
        <v/>
      </c>
      <c r="I348" s="11" t="str">
        <f>HYPERLINK("https://optomposuda.ru/product/salatnica-kristall-2-5-l","открыть")</f>
        <v>открыть</v>
      </c>
    </row>
    <row r="349" spans="1:9" x14ac:dyDescent="0.25">
      <c r="A349" t="s">
        <v>1415</v>
      </c>
      <c r="B349" t="s">
        <v>1416</v>
      </c>
      <c r="C349" t="s">
        <v>763</v>
      </c>
      <c r="D349" s="8">
        <v>20</v>
      </c>
      <c r="E349" s="9">
        <v>153.58</v>
      </c>
      <c r="F349" s="8">
        <v>88</v>
      </c>
      <c r="G349" s="10"/>
      <c r="H349" s="9" t="str">
        <f>IF(G349="","",E349*G349)</f>
        <v/>
      </c>
      <c r="I349" s="11" t="str">
        <f>HYPERLINK("https://optomposuda.ru/product/salatnica-kristall-4-5-l","открыть")</f>
        <v>открыть</v>
      </c>
    </row>
    <row r="350" spans="1:9" x14ac:dyDescent="0.25">
      <c r="A350" t="s">
        <v>1417</v>
      </c>
      <c r="B350" t="s">
        <v>1418</v>
      </c>
      <c r="C350" t="s">
        <v>763</v>
      </c>
      <c r="D350" s="8">
        <v>48</v>
      </c>
      <c r="E350" s="9">
        <v>72.49</v>
      </c>
      <c r="F350" s="8">
        <v>243</v>
      </c>
      <c r="G350" s="10"/>
      <c r="H350" s="9" t="str">
        <f>IF(G350="","",E350*G350)</f>
        <v/>
      </c>
      <c r="I350" s="11" t="str">
        <f>HYPERLINK("https://optomposuda.ru/product/salatnica-s-kryshkoy-0-7-l","открыть")</f>
        <v>открыть</v>
      </c>
    </row>
    <row r="351" spans="1:9" x14ac:dyDescent="0.25">
      <c r="A351" t="s">
        <v>1419</v>
      </c>
      <c r="B351" t="s">
        <v>1420</v>
      </c>
      <c r="C351" t="s">
        <v>763</v>
      </c>
      <c r="D351" s="8">
        <v>36</v>
      </c>
      <c r="E351" s="9">
        <v>90.9</v>
      </c>
      <c r="F351" s="8">
        <v>102</v>
      </c>
      <c r="G351" s="10"/>
      <c r="H351" s="9" t="str">
        <f>IF(G351="","",E351*G351)</f>
        <v/>
      </c>
      <c r="I351" s="11" t="str">
        <f>HYPERLINK("https://optomposuda.ru/product/salatnica-s-kryshkoy-1-2-l","открыть")</f>
        <v>открыть</v>
      </c>
    </row>
    <row r="352" spans="1:9" x14ac:dyDescent="0.25">
      <c r="A352" t="s">
        <v>1421</v>
      </c>
      <c r="B352" t="s">
        <v>1422</v>
      </c>
      <c r="C352" t="s">
        <v>763</v>
      </c>
      <c r="D352" s="8">
        <v>36</v>
      </c>
      <c r="E352" s="9">
        <v>113.32</v>
      </c>
      <c r="F352" s="8">
        <v>117</v>
      </c>
      <c r="G352" s="10"/>
      <c r="H352" s="9" t="str">
        <f>IF(G352="","",E352*G352)</f>
        <v/>
      </c>
      <c r="I352" s="11" t="str">
        <f>HYPERLINK("https://optomposuda.ru/product/salatnica-s-kryshkoy-1-4-l","открыть")</f>
        <v>открыть</v>
      </c>
    </row>
    <row r="353" spans="1:9" x14ac:dyDescent="0.25">
      <c r="A353" t="s">
        <v>1423</v>
      </c>
      <c r="B353" t="s">
        <v>1424</v>
      </c>
      <c r="C353" t="s">
        <v>763</v>
      </c>
      <c r="D353" s="8">
        <v>24</v>
      </c>
      <c r="E353" s="9">
        <v>140.79</v>
      </c>
      <c r="F353" s="8">
        <v>75</v>
      </c>
      <c r="G353" s="10"/>
      <c r="H353" s="9" t="str">
        <f>IF(G353="","",E353*G353)</f>
        <v/>
      </c>
      <c r="I353" s="11" t="str">
        <f>HYPERLINK("https://optomposuda.ru/product/salatnica-s-kryshkoy-2-5-l","открыть")</f>
        <v>открыть</v>
      </c>
    </row>
    <row r="354" spans="1:9" x14ac:dyDescent="0.25">
      <c r="A354" t="s">
        <v>1425</v>
      </c>
      <c r="B354" t="s">
        <v>1426</v>
      </c>
      <c r="C354" t="s">
        <v>763</v>
      </c>
      <c r="D354" s="8">
        <v>24</v>
      </c>
      <c r="E354" s="9">
        <v>147.31</v>
      </c>
      <c r="F354" s="8">
        <v>50</v>
      </c>
      <c r="G354" s="10"/>
      <c r="H354" s="9" t="str">
        <f>IF(G354="","",E354*G354)</f>
        <v/>
      </c>
      <c r="I354" s="11" t="str">
        <f>HYPERLINK("https://optomposuda.ru/product/salatnica-s-kryshkoy-2-6-l","открыть")</f>
        <v>открыть</v>
      </c>
    </row>
    <row r="355" spans="1:9" x14ac:dyDescent="0.25">
      <c r="A355" t="s">
        <v>1427</v>
      </c>
      <c r="B355" t="s">
        <v>1428</v>
      </c>
      <c r="C355" t="s">
        <v>763</v>
      </c>
      <c r="D355" s="8">
        <v>24</v>
      </c>
      <c r="E355" s="9">
        <v>166.58</v>
      </c>
      <c r="F355" s="8">
        <v>20</v>
      </c>
      <c r="G355" s="10"/>
      <c r="H355" s="9" t="str">
        <f>IF(G355="","",E355*G355)</f>
        <v/>
      </c>
      <c r="I355" s="11" t="str">
        <f>HYPERLINK("https://optomposuda.ru/product/salatnica-s-kryshkoy-4-l","открыть")</f>
        <v>открыть</v>
      </c>
    </row>
    <row r="356" spans="1:9" x14ac:dyDescent="0.25">
      <c r="A356" s="7" t="s">
        <v>85</v>
      </c>
      <c r="B356" s="7"/>
      <c r="C356" s="7"/>
      <c r="D356" s="7"/>
      <c r="E356" s="7"/>
      <c r="F356" s="7"/>
      <c r="G356" s="7"/>
      <c r="H356" s="7"/>
      <c r="I356" s="7"/>
    </row>
    <row r="357" spans="1:9" x14ac:dyDescent="0.25">
      <c r="A357" t="s">
        <v>1429</v>
      </c>
      <c r="B357" t="s">
        <v>1430</v>
      </c>
      <c r="C357" t="s">
        <v>763</v>
      </c>
      <c r="D357" s="8">
        <v>10</v>
      </c>
      <c r="E357" s="9">
        <v>892.92</v>
      </c>
      <c r="F357" s="8">
        <v>22</v>
      </c>
      <c r="G357" s="10"/>
      <c r="H357" s="9" t="str">
        <f>IF(G357="","",E357*G357)</f>
        <v/>
      </c>
      <c r="I357" s="11" t="str">
        <f>HYPERLINK("https://optomposuda.ru/product/bak-antey-70-l-s-kryshkoy-530h610-cveta-v-assortimente","открыть")</f>
        <v>открыть</v>
      </c>
    </row>
    <row r="358" spans="1:9" x14ac:dyDescent="0.25">
      <c r="A358" t="s">
        <v>1431</v>
      </c>
      <c r="B358" t="s">
        <v>1432</v>
      </c>
      <c r="C358" t="s">
        <v>763</v>
      </c>
      <c r="D358" s="8">
        <v>5</v>
      </c>
      <c r="E358" s="9">
        <v>1582.18</v>
      </c>
      <c r="F358" s="8">
        <v>55</v>
      </c>
      <c r="G358" s="10"/>
      <c r="H358" s="9" t="str">
        <f>IF(G358="","",E358*G358)</f>
        <v/>
      </c>
      <c r="I358" s="11" t="str">
        <f>HYPERLINK("https://optomposuda.ru/product/bak-gerkules-100-l-s-kryshkoy-590h570h740-cveta-v-assortimente","открыть")</f>
        <v>открыть</v>
      </c>
    </row>
    <row r="359" spans="1:9" x14ac:dyDescent="0.25">
      <c r="A359" t="s">
        <v>1433</v>
      </c>
      <c r="B359" t="s">
        <v>1434</v>
      </c>
      <c r="C359" t="s">
        <v>763</v>
      </c>
      <c r="D359" s="8">
        <v>1</v>
      </c>
      <c r="E359" s="9">
        <v>806.27</v>
      </c>
      <c r="F359" s="8">
        <v>58</v>
      </c>
      <c r="G359" s="10"/>
      <c r="H359" s="9" t="str">
        <f>IF(G359="","",E359*G359)</f>
        <v/>
      </c>
      <c r="I359" s="11" t="str">
        <f>HYPERLINK("https://optomposuda.ru/product/bak-gerkules-45-l-s-kryshkoy-450h465h475-cveta-v-assortimente","открыть")</f>
        <v>открыть</v>
      </c>
    </row>
    <row r="360" spans="1:9" x14ac:dyDescent="0.25">
      <c r="A360" t="s">
        <v>1435</v>
      </c>
      <c r="B360" t="s">
        <v>1436</v>
      </c>
      <c r="C360" t="s">
        <v>763</v>
      </c>
      <c r="D360" s="8">
        <v>1</v>
      </c>
      <c r="E360" s="9">
        <v>1114.39</v>
      </c>
      <c r="F360" s="8">
        <v>57</v>
      </c>
      <c r="G360" s="10"/>
      <c r="H360" s="9" t="str">
        <f>IF(G360="","",E360*G360)</f>
        <v/>
      </c>
      <c r="I360" s="11" t="str">
        <f>HYPERLINK("https://optomposuda.ru/product/bak-gerkules-70-l-s-kryshkoy-520h530h660-cveta-v-assortimente","открыть")</f>
        <v>открыть</v>
      </c>
    </row>
    <row r="361" spans="1:9" x14ac:dyDescent="0.25">
      <c r="A361" t="s">
        <v>1437</v>
      </c>
      <c r="B361" t="s">
        <v>1438</v>
      </c>
      <c r="C361" t="s">
        <v>763</v>
      </c>
      <c r="D361" s="8">
        <v>1</v>
      </c>
      <c r="E361" s="9">
        <v>3150.85</v>
      </c>
      <c r="F361" s="8">
        <v>17</v>
      </c>
      <c r="G361" s="10"/>
      <c r="H361" s="9" t="str">
        <f>IF(G361="","",E361*G361)</f>
        <v/>
      </c>
      <c r="I361" s="11" t="str">
        <f>HYPERLINK("https://optomposuda.ru/product/bak-105-l-na-kolesah-dlya-musora-550h550h880-zelenyy","открыть")</f>
        <v>открыть</v>
      </c>
    </row>
    <row r="362" spans="1:9" x14ac:dyDescent="0.25">
      <c r="A362" t="s">
        <v>1439</v>
      </c>
      <c r="B362" t="s">
        <v>1440</v>
      </c>
      <c r="C362" t="s">
        <v>763</v>
      </c>
      <c r="D362" s="8">
        <v>15</v>
      </c>
      <c r="E362" s="9">
        <v>437.19</v>
      </c>
      <c r="F362" s="8">
        <v>78</v>
      </c>
      <c r="G362" s="10"/>
      <c r="H362" s="9" t="str">
        <f>IF(G362="","",E362*G362)</f>
        <v/>
      </c>
      <c r="I362" s="11" t="str">
        <f>HYPERLINK("https://optomposuda.ru/product/bak-25-l-s-kryshkoy-355h390-cveta-v-assortimente","открыть")</f>
        <v>открыть</v>
      </c>
    </row>
    <row r="363" spans="1:9" x14ac:dyDescent="0.25">
      <c r="A363" t="s">
        <v>1441</v>
      </c>
      <c r="B363" t="s">
        <v>1442</v>
      </c>
      <c r="C363" t="s">
        <v>763</v>
      </c>
      <c r="D363" s="8">
        <v>15</v>
      </c>
      <c r="E363" s="9">
        <v>819.77</v>
      </c>
      <c r="F363" s="8">
        <v>182</v>
      </c>
      <c r="G363" s="10"/>
      <c r="H363" s="9" t="str">
        <f>IF(G363="","",E363*G363)</f>
        <v/>
      </c>
      <c r="I363" s="11" t="str">
        <f>HYPERLINK("https://optomposuda.ru/product/bak-50-l-s-kryshkoy-430h485-cveta-v-assortimente","открыть")</f>
        <v>открыть</v>
      </c>
    </row>
    <row r="364" spans="1:9" x14ac:dyDescent="0.25">
      <c r="A364" t="s">
        <v>1443</v>
      </c>
      <c r="B364" t="s">
        <v>1444</v>
      </c>
      <c r="C364" t="s">
        <v>763</v>
      </c>
      <c r="D364" s="8">
        <v>10</v>
      </c>
      <c r="E364" s="9">
        <v>1274.07</v>
      </c>
      <c r="F364" s="8">
        <v>130</v>
      </c>
      <c r="G364" s="10"/>
      <c r="H364" s="9" t="str">
        <f>IF(G364="","",E364*G364)</f>
        <v/>
      </c>
      <c r="I364" s="11" t="str">
        <f>HYPERLINK("https://optomposuda.ru/product/bak-80-l-s-kryshkoy-495h565-cveta-v-assortimente","открыть")</f>
        <v>открыть</v>
      </c>
    </row>
    <row r="365" spans="1:9" x14ac:dyDescent="0.25">
      <c r="A365" t="s">
        <v>1445</v>
      </c>
      <c r="B365" t="s">
        <v>1446</v>
      </c>
      <c r="C365" t="s">
        <v>763</v>
      </c>
      <c r="D365" s="8">
        <v>1</v>
      </c>
      <c r="E365" s="9">
        <v>2320.12</v>
      </c>
      <c r="F365" s="8">
        <v>49</v>
      </c>
      <c r="G365" s="10"/>
      <c r="H365" s="9" t="str">
        <f>IF(G365="","",E365*G365)</f>
        <v/>
      </c>
      <c r="I365" s="11" t="str">
        <f>HYPERLINK("https://optomposuda.ru/product/bak-dlya-musora-80-l-s-pedalyu-510h400h795-zelenye","открыть")</f>
        <v>открыть</v>
      </c>
    </row>
    <row r="366" spans="1:9" x14ac:dyDescent="0.25">
      <c r="A366" t="s">
        <v>1447</v>
      </c>
      <c r="B366" t="s">
        <v>1448</v>
      </c>
      <c r="C366" t="s">
        <v>763</v>
      </c>
      <c r="D366" s="8">
        <v>8</v>
      </c>
      <c r="E366" s="9">
        <v>337.35</v>
      </c>
      <c r="F366" s="8">
        <v>276</v>
      </c>
      <c r="G366" s="10"/>
      <c r="H366" s="9" t="str">
        <f>IF(G366="","",E366*G366)</f>
        <v/>
      </c>
      <c r="I366" s="11" t="str">
        <f>HYPERLINK("https://optomposuda.ru/product/bidon-aqualine-10-l-s-kranom","открыть")</f>
        <v>открыть</v>
      </c>
    </row>
    <row r="367" spans="1:9" x14ac:dyDescent="0.25">
      <c r="A367" t="s">
        <v>1449</v>
      </c>
      <c r="B367" t="s">
        <v>1450</v>
      </c>
      <c r="C367" t="s">
        <v>763</v>
      </c>
      <c r="D367" s="8">
        <v>18</v>
      </c>
      <c r="E367" s="9">
        <v>161.93</v>
      </c>
      <c r="F367" s="8">
        <v>251</v>
      </c>
      <c r="G367" s="10"/>
      <c r="H367" s="9" t="str">
        <f>IF(G367="","",E367*G367)</f>
        <v/>
      </c>
      <c r="I367" s="11" t="str">
        <f>HYPERLINK("https://optomposuda.ru/product/bidon-aqualine-5-l","открыть")</f>
        <v>открыть</v>
      </c>
    </row>
    <row r="368" spans="1:9" x14ac:dyDescent="0.25">
      <c r="A368" t="s">
        <v>1451</v>
      </c>
      <c r="B368" t="s">
        <v>1452</v>
      </c>
      <c r="C368" t="s">
        <v>763</v>
      </c>
      <c r="D368" s="8">
        <v>30</v>
      </c>
      <c r="E368" s="9">
        <v>160.56</v>
      </c>
      <c r="F368" s="8">
        <v>226</v>
      </c>
      <c r="G368" s="10"/>
      <c r="H368" s="9" t="str">
        <f>IF(G368="","",E368*G368)</f>
        <v/>
      </c>
      <c r="I368" s="11" t="str">
        <f>HYPERLINK("https://optomposuda.ru/product/vedro-volna-10-l-bez-kryshki-cveta-v-assort","открыть")</f>
        <v>открыть</v>
      </c>
    </row>
    <row r="369" spans="1:9" x14ac:dyDescent="0.25">
      <c r="A369" t="s">
        <v>1453</v>
      </c>
      <c r="B369" t="s">
        <v>1454</v>
      </c>
      <c r="C369" t="s">
        <v>763</v>
      </c>
      <c r="D369" s="8">
        <v>30</v>
      </c>
      <c r="E369" s="9">
        <v>223.78</v>
      </c>
      <c r="F369" s="8">
        <v>166</v>
      </c>
      <c r="G369" s="10"/>
      <c r="H369" s="9" t="str">
        <f>IF(G369="","",E369*G369)</f>
        <v/>
      </c>
      <c r="I369" s="11" t="str">
        <f>HYPERLINK("https://optomposuda.ru/product/vedro-volna-10-l-s-kryshkoy-cveta-v-assort","открыть")</f>
        <v>открыть</v>
      </c>
    </row>
    <row r="370" spans="1:9" x14ac:dyDescent="0.25">
      <c r="A370" t="s">
        <v>1455</v>
      </c>
      <c r="B370" t="s">
        <v>1456</v>
      </c>
      <c r="C370" t="s">
        <v>763</v>
      </c>
      <c r="D370" s="8">
        <v>30</v>
      </c>
      <c r="E370" s="9">
        <v>173.73</v>
      </c>
      <c r="F370" s="8">
        <v>383</v>
      </c>
      <c r="G370" s="10"/>
      <c r="H370" s="9" t="str">
        <f>IF(G370="","",E370*G370)</f>
        <v/>
      </c>
      <c r="I370" s="11" t="str">
        <f>HYPERLINK("https://optomposuda.ru/product/vedro-volna-12-l-bez-kryshki-cveta-v-assort","открыть")</f>
        <v>открыть</v>
      </c>
    </row>
    <row r="371" spans="1:9" x14ac:dyDescent="0.25">
      <c r="A371" t="s">
        <v>1457</v>
      </c>
      <c r="B371" t="s">
        <v>1458</v>
      </c>
      <c r="C371" t="s">
        <v>763</v>
      </c>
      <c r="D371" s="8">
        <v>30</v>
      </c>
      <c r="E371" s="9">
        <v>242.89</v>
      </c>
      <c r="F371" s="8">
        <v>270</v>
      </c>
      <c r="G371" s="10"/>
      <c r="H371" s="9" t="str">
        <f>IF(G371="","",E371*G371)</f>
        <v/>
      </c>
      <c r="I371" s="11" t="str">
        <f>HYPERLINK("https://optomposuda.ru/product/vedro-volna-12-l-s-kryshkoy-cveta-v-assort","открыть")</f>
        <v>открыть</v>
      </c>
    </row>
    <row r="372" spans="1:9" x14ac:dyDescent="0.25">
      <c r="A372" t="s">
        <v>1459</v>
      </c>
      <c r="B372" t="s">
        <v>1460</v>
      </c>
      <c r="C372" t="s">
        <v>763</v>
      </c>
      <c r="D372" s="8">
        <v>20</v>
      </c>
      <c r="E372" s="9">
        <v>212.85</v>
      </c>
      <c r="F372" s="8">
        <v>122</v>
      </c>
      <c r="G372" s="10"/>
      <c r="H372" s="9" t="str">
        <f>IF(G372="","",E372*G372)</f>
        <v/>
      </c>
      <c r="I372" s="11" t="str">
        <f>HYPERLINK("https://optomposuda.ru/product/vedro-volna-18-l-bez-kryshki-cveta-v-assort","открыть")</f>
        <v>открыть</v>
      </c>
    </row>
    <row r="373" spans="1:9" x14ac:dyDescent="0.25">
      <c r="A373" t="s">
        <v>1461</v>
      </c>
      <c r="B373" t="s">
        <v>1462</v>
      </c>
      <c r="C373" t="s">
        <v>763</v>
      </c>
      <c r="D373" s="8">
        <v>20</v>
      </c>
      <c r="E373" s="9">
        <v>273.83</v>
      </c>
      <c r="F373" s="8">
        <v>19</v>
      </c>
      <c r="G373" s="10"/>
      <c r="H373" s="9" t="str">
        <f>IF(G373="","",E373*G373)</f>
        <v/>
      </c>
      <c r="I373" s="11" t="str">
        <f>HYPERLINK("https://optomposuda.ru/product/vedro-volna-18-l-s-kryshkoy-cveta-v-assort","открыть")</f>
        <v>открыть</v>
      </c>
    </row>
    <row r="374" spans="1:9" x14ac:dyDescent="0.25">
      <c r="A374" t="s">
        <v>1463</v>
      </c>
      <c r="B374" t="s">
        <v>1464</v>
      </c>
      <c r="C374" t="s">
        <v>763</v>
      </c>
      <c r="D374" s="8">
        <v>30</v>
      </c>
      <c r="E374" s="9">
        <v>85.14</v>
      </c>
      <c r="F374" s="8">
        <v>347</v>
      </c>
      <c r="G374" s="10"/>
      <c r="H374" s="9" t="str">
        <f>IF(G374="","",E374*G374)</f>
        <v/>
      </c>
      <c r="I374" s="11" t="str">
        <f>HYPERLINK("https://optomposuda.ru/product/vedro-volna-4-l-bez-kryshki-cveta-v-assort","открыть")</f>
        <v>открыть</v>
      </c>
    </row>
    <row r="375" spans="1:9" x14ac:dyDescent="0.25">
      <c r="A375" t="s">
        <v>1465</v>
      </c>
      <c r="B375" t="s">
        <v>1466</v>
      </c>
      <c r="C375" t="s">
        <v>763</v>
      </c>
      <c r="D375" s="8">
        <v>30</v>
      </c>
      <c r="E375" s="9">
        <v>119.65</v>
      </c>
      <c r="F375" s="8">
        <v>217</v>
      </c>
      <c r="G375" s="10"/>
      <c r="H375" s="9" t="str">
        <f>IF(G375="","",E375*G375)</f>
        <v/>
      </c>
      <c r="I375" s="11" t="str">
        <f>HYPERLINK("https://optomposuda.ru/product/vedro-volna-4-l-s-kryshkoy-cveta-v-assort","открыть")</f>
        <v>открыть</v>
      </c>
    </row>
    <row r="376" spans="1:9" x14ac:dyDescent="0.25">
      <c r="A376" t="s">
        <v>1467</v>
      </c>
      <c r="B376" t="s">
        <v>1468</v>
      </c>
      <c r="C376" t="s">
        <v>763</v>
      </c>
      <c r="D376" s="8">
        <v>30</v>
      </c>
      <c r="E376" s="9">
        <v>115.83</v>
      </c>
      <c r="F376" s="8">
        <v>970</v>
      </c>
      <c r="G376" s="10"/>
      <c r="H376" s="9" t="str">
        <f>IF(G376="","",E376*G376)</f>
        <v/>
      </c>
      <c r="I376" s="11" t="str">
        <f>HYPERLINK("https://optomposuda.ru/product/vedro-volna-7-l-bez-kryshki-cveta-v-assort","открыть")</f>
        <v>открыть</v>
      </c>
    </row>
    <row r="377" spans="1:9" x14ac:dyDescent="0.25">
      <c r="A377" t="s">
        <v>1469</v>
      </c>
      <c r="B377" t="s">
        <v>1470</v>
      </c>
      <c r="C377" t="s">
        <v>763</v>
      </c>
      <c r="D377" s="8">
        <v>30</v>
      </c>
      <c r="E377" s="9">
        <v>155.19</v>
      </c>
      <c r="F377" s="8">
        <v>168</v>
      </c>
      <c r="G377" s="10"/>
      <c r="H377" s="9" t="str">
        <f>IF(G377="","",E377*G377)</f>
        <v/>
      </c>
      <c r="I377" s="11" t="str">
        <f>HYPERLINK("https://optomposuda.ru/product/vedro-volna-7-l-s-kryshkoy-cveta-v-assort","открыть")</f>
        <v>открыть</v>
      </c>
    </row>
    <row r="378" spans="1:9" x14ac:dyDescent="0.25">
      <c r="A378" t="s">
        <v>1471</v>
      </c>
      <c r="B378" t="s">
        <v>1472</v>
      </c>
      <c r="C378" t="s">
        <v>763</v>
      </c>
      <c r="D378" s="8">
        <v>60</v>
      </c>
      <c r="E378" s="9">
        <v>68.6</v>
      </c>
      <c r="F378" s="8">
        <v>480</v>
      </c>
      <c r="G378" s="10"/>
      <c r="H378" s="9" t="str">
        <f>IF(G378="","",E378*G378)</f>
        <v/>
      </c>
      <c r="I378" s="11" t="str">
        <f>HYPERLINK("https://optomposuda.ru/product/vedro-argo-4-l-cveta-v-assort","открыть")</f>
        <v>открыть</v>
      </c>
    </row>
    <row r="379" spans="1:9" x14ac:dyDescent="0.25">
      <c r="A379" t="s">
        <v>1473</v>
      </c>
      <c r="B379" t="s">
        <v>1474</v>
      </c>
      <c r="C379" t="s">
        <v>763</v>
      </c>
      <c r="D379" s="8">
        <v>24</v>
      </c>
      <c r="E379" s="9">
        <v>116.21</v>
      </c>
      <c r="F379" s="8">
        <v>344</v>
      </c>
      <c r="G379" s="10"/>
      <c r="H379" s="9" t="str">
        <f>IF(G379="","",E379*G379)</f>
        <v/>
      </c>
      <c r="I379" s="11" t="str">
        <f>HYPERLINK("https://optomposuda.ru/product/vedro-dlya-musora-navesnoe-cveta-v-assortimente","открыть")</f>
        <v>открыть</v>
      </c>
    </row>
    <row r="380" spans="1:9" x14ac:dyDescent="0.25">
      <c r="A380" t="s">
        <v>1475</v>
      </c>
      <c r="B380" t="s">
        <v>1476</v>
      </c>
      <c r="C380" t="s">
        <v>763</v>
      </c>
      <c r="D380" s="8">
        <v>5</v>
      </c>
      <c r="E380" s="9">
        <v>513.12</v>
      </c>
      <c r="F380" s="8">
        <v>195</v>
      </c>
      <c r="G380" s="10"/>
      <c r="H380" s="9" t="str">
        <f>IF(G380="","",E380*G380)</f>
        <v/>
      </c>
      <c r="I380" s="11" t="str">
        <f>HYPERLINK("https://optomposuda.ru/product/vedro-tualet-s-kryshkoy-22-l","открыть")</f>
        <v>открыть</v>
      </c>
    </row>
    <row r="381" spans="1:9" x14ac:dyDescent="0.25">
      <c r="A381" t="s">
        <v>1477</v>
      </c>
      <c r="B381" t="s">
        <v>1478</v>
      </c>
      <c r="C381" t="s">
        <v>763</v>
      </c>
      <c r="D381" s="8">
        <v>34</v>
      </c>
      <c r="E381" s="9">
        <v>172.2</v>
      </c>
      <c r="F381" s="8">
        <v>255</v>
      </c>
      <c r="G381" s="10"/>
      <c r="H381" s="9" t="str">
        <f>IF(G381="","",E381*G381)</f>
        <v/>
      </c>
      <c r="I381" s="11" t="str">
        <f>HYPERLINK("https://optomposuda.ru/product/venik-zolushka","открыть")</f>
        <v>открыть</v>
      </c>
    </row>
    <row r="382" spans="1:9" x14ac:dyDescent="0.25">
      <c r="A382" t="s">
        <v>1479</v>
      </c>
      <c r="B382" t="s">
        <v>1480</v>
      </c>
      <c r="C382" t="s">
        <v>763</v>
      </c>
      <c r="D382" s="8">
        <v>24</v>
      </c>
      <c r="E382" s="9">
        <v>215.9</v>
      </c>
      <c r="F382" s="8">
        <v>357</v>
      </c>
      <c r="G382" s="10"/>
      <c r="H382" s="9" t="str">
        <f>IF(G382="","",E382*G382)</f>
        <v/>
      </c>
      <c r="I382" s="11" t="str">
        <f>HYPERLINK("https://optomposuda.ru/product/venik-sweep","открыть")</f>
        <v>открыть</v>
      </c>
    </row>
    <row r="383" spans="1:9" x14ac:dyDescent="0.25">
      <c r="A383" t="s">
        <v>1481</v>
      </c>
      <c r="B383" t="s">
        <v>1482</v>
      </c>
      <c r="C383" t="s">
        <v>763</v>
      </c>
      <c r="D383" s="8">
        <v>48</v>
      </c>
      <c r="E383" s="9">
        <v>94.34</v>
      </c>
      <c r="F383" s="8">
        <v>179</v>
      </c>
      <c r="G383" s="10"/>
      <c r="H383" s="9" t="str">
        <f>IF(G383="","",E383*G383)</f>
        <v/>
      </c>
      <c r="I383" s="11" t="str">
        <f>HYPERLINK("https://optomposuda.ru/product/emkost-dlya-mikrovolnovoy-pechi-1-8-l-208h200h97","открыть")</f>
        <v>открыть</v>
      </c>
    </row>
    <row r="384" spans="1:9" x14ac:dyDescent="0.25">
      <c r="A384" t="s">
        <v>1483</v>
      </c>
      <c r="B384" t="s">
        <v>1484</v>
      </c>
      <c r="C384" t="s">
        <v>763</v>
      </c>
      <c r="D384" s="8">
        <v>32</v>
      </c>
      <c r="E384" s="9">
        <v>128.19</v>
      </c>
      <c r="F384" s="8">
        <v>39</v>
      </c>
      <c r="G384" s="10"/>
      <c r="H384" s="9" t="str">
        <f>IF(G384="","",E384*G384)</f>
        <v/>
      </c>
      <c r="I384" s="11" t="str">
        <f>HYPERLINK("https://optomposuda.ru/product/emkost-dlya-mikrovolnovoy-pechi-3-0-l","открыть")</f>
        <v>открыть</v>
      </c>
    </row>
    <row r="385" spans="1:9" x14ac:dyDescent="0.25">
      <c r="A385" t="s">
        <v>1485</v>
      </c>
      <c r="B385" t="s">
        <v>1486</v>
      </c>
      <c r="C385" t="s">
        <v>763</v>
      </c>
      <c r="D385" s="8">
        <v>5</v>
      </c>
      <c r="E385" s="9">
        <v>337.35</v>
      </c>
      <c r="F385" s="8">
        <v>110</v>
      </c>
      <c r="G385" s="10"/>
      <c r="H385" s="9" t="str">
        <f>IF(G385="","",E385*G385)</f>
        <v/>
      </c>
      <c r="I385" s="11" t="str">
        <f>HYPERLINK("https://optomposuda.ru/product/kanistra-aqualine-16-l","открыть")</f>
        <v>открыть</v>
      </c>
    </row>
    <row r="386" spans="1:9" x14ac:dyDescent="0.25">
      <c r="A386" t="s">
        <v>1487</v>
      </c>
      <c r="B386" t="s">
        <v>1488</v>
      </c>
      <c r="C386" t="s">
        <v>763</v>
      </c>
      <c r="D386" s="8">
        <v>5</v>
      </c>
      <c r="E386" s="9">
        <v>371.09</v>
      </c>
      <c r="F386" s="8">
        <v>30</v>
      </c>
      <c r="G386" s="10"/>
      <c r="H386" s="9" t="str">
        <f>IF(G386="","",E386*G386)</f>
        <v/>
      </c>
      <c r="I386" s="11" t="str">
        <f>HYPERLINK("https://optomposuda.ru/product/kanistra-aqualine-16-l-s-kranom","открыть")</f>
        <v>открыть</v>
      </c>
    </row>
    <row r="387" spans="1:9" x14ac:dyDescent="0.25">
      <c r="A387" t="s">
        <v>1489</v>
      </c>
      <c r="B387" t="s">
        <v>1490</v>
      </c>
      <c r="C387" t="s">
        <v>763</v>
      </c>
      <c r="D387" s="8">
        <v>20</v>
      </c>
      <c r="E387" s="9">
        <v>161.93</v>
      </c>
      <c r="F387" s="8">
        <v>419</v>
      </c>
      <c r="G387" s="10"/>
      <c r="H387" s="9" t="str">
        <f>IF(G387="","",E387*G387)</f>
        <v/>
      </c>
      <c r="I387" s="11" t="str">
        <f>HYPERLINK("https://optomposuda.ru/product/komplekt-dlya-tualeta-elegance-ersh-s-podstavkoy","открыть")</f>
        <v>открыть</v>
      </c>
    </row>
    <row r="388" spans="1:9" x14ac:dyDescent="0.25">
      <c r="A388" t="s">
        <v>1491</v>
      </c>
      <c r="B388" t="s">
        <v>1492</v>
      </c>
      <c r="C388" t="s">
        <v>763</v>
      </c>
      <c r="D388" s="8">
        <v>24</v>
      </c>
      <c r="E388" s="9">
        <v>121.45</v>
      </c>
      <c r="F388" s="8">
        <v>460</v>
      </c>
      <c r="G388" s="10"/>
      <c r="H388" s="9" t="str">
        <f>IF(G388="","",E388*G388)</f>
        <v/>
      </c>
      <c r="I388" s="11" t="str">
        <f>HYPERLINK("https://optomposuda.ru/product/komplekt-dlya-uborki-kompakt-schetka-smetka-s-sovkom","открыть")</f>
        <v>открыть</v>
      </c>
    </row>
    <row r="389" spans="1:9" x14ac:dyDescent="0.25">
      <c r="A389" t="s">
        <v>1493</v>
      </c>
      <c r="B389" t="s">
        <v>1494</v>
      </c>
      <c r="C389" t="s">
        <v>763</v>
      </c>
      <c r="D389" s="8">
        <v>12</v>
      </c>
      <c r="E389" s="9">
        <v>367.02</v>
      </c>
      <c r="F389" s="8">
        <v>36</v>
      </c>
      <c r="G389" s="10"/>
      <c r="H389" s="9" t="str">
        <f>IF(G389="","",E389*G389)</f>
        <v/>
      </c>
      <c r="I389" s="11" t="str">
        <f>HYPERLINK("https://optomposuda.ru/product/konteyner-star-box-aptechka-350h260h215","открыть")</f>
        <v>открыть</v>
      </c>
    </row>
    <row r="390" spans="1:9" x14ac:dyDescent="0.25">
      <c r="A390" t="s">
        <v>1495</v>
      </c>
      <c r="B390" t="s">
        <v>1496</v>
      </c>
      <c r="C390" t="s">
        <v>763</v>
      </c>
      <c r="D390" s="8">
        <v>6</v>
      </c>
      <c r="E390" s="9">
        <v>737.68</v>
      </c>
      <c r="F390" s="8">
        <v>33</v>
      </c>
      <c r="G390" s="10"/>
      <c r="H390" s="9" t="str">
        <f>IF(G390="","",E390*G390)</f>
        <v/>
      </c>
      <c r="I390" s="11" t="str">
        <f>HYPERLINK("https://optomposuda.ru/product/konteyner-storage-box-30-l-na-kolesah-640-415-195","открыть")</f>
        <v>открыть</v>
      </c>
    </row>
    <row r="391" spans="1:9" x14ac:dyDescent="0.25">
      <c r="A391" t="s">
        <v>1497</v>
      </c>
      <c r="B391" t="s">
        <v>1498</v>
      </c>
      <c r="C391" t="s">
        <v>763</v>
      </c>
      <c r="D391" s="8">
        <v>6</v>
      </c>
      <c r="E391" s="9">
        <v>923.86</v>
      </c>
      <c r="F391" s="8">
        <v>26</v>
      </c>
      <c r="G391" s="10"/>
      <c r="H391" s="9" t="str">
        <f>IF(G391="","",E391*G391)</f>
        <v/>
      </c>
      <c r="I391" s="11" t="str">
        <f>HYPERLINK("https://optomposuda.ru/product/konteyner-storage-box-40-l-na-kolesah-640h415h250","открыть")</f>
        <v>открыть</v>
      </c>
    </row>
    <row r="392" spans="1:9" x14ac:dyDescent="0.25">
      <c r="A392" t="s">
        <v>1499</v>
      </c>
      <c r="B392" t="s">
        <v>1500</v>
      </c>
      <c r="C392" t="s">
        <v>763</v>
      </c>
      <c r="D392" s="8">
        <v>6</v>
      </c>
      <c r="E392" s="9">
        <v>1099.76</v>
      </c>
      <c r="F392" s="8">
        <v>26</v>
      </c>
      <c r="G392" s="10"/>
      <c r="H392" s="9" t="str">
        <f>IF(G392="","",E392*G392)</f>
        <v/>
      </c>
      <c r="I392" s="11" t="str">
        <f>HYPERLINK("https://optomposuda.ru/product/konteyner-storage-box-50-l-na-kolesah-640h415h315","открыть")</f>
        <v>открыть</v>
      </c>
    </row>
    <row r="393" spans="1:9" x14ac:dyDescent="0.25">
      <c r="A393" t="s">
        <v>1501</v>
      </c>
      <c r="B393" t="s">
        <v>1502</v>
      </c>
      <c r="C393" t="s">
        <v>763</v>
      </c>
      <c r="D393" s="8">
        <v>24</v>
      </c>
      <c r="E393" s="9">
        <v>259.77</v>
      </c>
      <c r="F393" s="8">
        <v>150</v>
      </c>
      <c r="G393" s="10"/>
      <c r="H393" s="9" t="str">
        <f>IF(G393="","",E393*G393)</f>
        <v/>
      </c>
      <c r="I393" s="11" t="str">
        <f>HYPERLINK("https://optomposuda.ru/product/konteyner-ultra-10-l","открыть")</f>
        <v>открыть</v>
      </c>
    </row>
    <row r="394" spans="1:9" x14ac:dyDescent="0.25">
      <c r="A394" t="s">
        <v>1503</v>
      </c>
      <c r="B394" t="s">
        <v>1504</v>
      </c>
      <c r="C394" t="s">
        <v>763</v>
      </c>
      <c r="D394" s="8">
        <v>12</v>
      </c>
      <c r="E394" s="9">
        <v>376.71</v>
      </c>
      <c r="F394" s="8">
        <v>144</v>
      </c>
      <c r="G394" s="10"/>
      <c r="H394" s="9" t="str">
        <f>IF(G394="","",E394*G394)</f>
        <v/>
      </c>
      <c r="I394" s="11" t="str">
        <f>HYPERLINK("https://optomposuda.ru/product/konteyner-ultra-16-l","открыть")</f>
        <v>открыть</v>
      </c>
    </row>
    <row r="395" spans="1:9" x14ac:dyDescent="0.25">
      <c r="A395" t="s">
        <v>1505</v>
      </c>
      <c r="B395" t="s">
        <v>1506</v>
      </c>
      <c r="C395" t="s">
        <v>763</v>
      </c>
      <c r="D395" s="8">
        <v>20</v>
      </c>
      <c r="E395" s="9">
        <v>178.62</v>
      </c>
      <c r="F395" s="8">
        <v>7</v>
      </c>
      <c r="G395" s="10"/>
      <c r="H395" s="9" t="str">
        <f>IF(G395="","",E395*G395)</f>
        <v/>
      </c>
      <c r="I395" s="11" t="str">
        <f>HYPERLINK("https://optomposuda.ru/product/konteyner-dlya-korma-zhivotnyh-6-l","открыть")</f>
        <v>открыть</v>
      </c>
    </row>
    <row r="396" spans="1:9" x14ac:dyDescent="0.25">
      <c r="A396" t="s">
        <v>1507</v>
      </c>
      <c r="B396" t="s">
        <v>1508</v>
      </c>
      <c r="C396" t="s">
        <v>763</v>
      </c>
      <c r="D396" s="8">
        <v>36</v>
      </c>
      <c r="E396" s="9">
        <v>87.27</v>
      </c>
      <c r="F396" s="8">
        <v>159</v>
      </c>
      <c r="G396" s="10"/>
      <c r="H396" s="9" t="str">
        <f>IF(G396="","",E396*G396)</f>
        <v/>
      </c>
      <c r="I396" s="11" t="str">
        <f>HYPERLINK("https://optomposuda.ru/product/konteyner-dlya-musora-romashka-1-5-l-s-perekidnym-verhom","открыть")</f>
        <v>открыть</v>
      </c>
    </row>
    <row r="397" spans="1:9" x14ac:dyDescent="0.25">
      <c r="A397" t="s">
        <v>1509</v>
      </c>
      <c r="B397" t="s">
        <v>1510</v>
      </c>
      <c r="C397" t="s">
        <v>763</v>
      </c>
      <c r="D397" s="8">
        <v>18</v>
      </c>
      <c r="E397" s="9">
        <v>269.88</v>
      </c>
      <c r="F397" s="8">
        <v>187</v>
      </c>
      <c r="G397" s="10"/>
      <c r="H397" s="9" t="str">
        <f>IF(G397="","",E397*G397)</f>
        <v/>
      </c>
      <c r="I397" s="11" t="str">
        <f>HYPERLINK("https://optomposuda.ru/product/konteyner-dlya-musora-romashka-10-l-s-perekidnym-verhom","открыть")</f>
        <v>открыть</v>
      </c>
    </row>
    <row r="398" spans="1:9" x14ac:dyDescent="0.25">
      <c r="A398" t="s">
        <v>1511</v>
      </c>
      <c r="B398" t="s">
        <v>1512</v>
      </c>
      <c r="C398" t="s">
        <v>763</v>
      </c>
      <c r="D398" s="8">
        <v>12</v>
      </c>
      <c r="E398" s="9">
        <v>429.56</v>
      </c>
      <c r="F398" s="8">
        <v>21</v>
      </c>
      <c r="G398" s="10"/>
      <c r="H398" s="9" t="str">
        <f>IF(G398="","",E398*G398)</f>
        <v/>
      </c>
      <c r="I398" s="11" t="str">
        <f>HYPERLINK("https://optomposuda.ru/product/konteyner-dlya-musora-romashka-18-l-s-perekidnym-verhom","открыть")</f>
        <v>открыть</v>
      </c>
    </row>
    <row r="399" spans="1:9" x14ac:dyDescent="0.25">
      <c r="A399" t="s">
        <v>1513</v>
      </c>
      <c r="B399" t="s">
        <v>1514</v>
      </c>
      <c r="C399" t="s">
        <v>763</v>
      </c>
      <c r="D399" s="8">
        <v>8</v>
      </c>
      <c r="E399" s="9">
        <v>571.25</v>
      </c>
      <c r="F399" s="8">
        <v>28</v>
      </c>
      <c r="G399" s="10"/>
      <c r="H399" s="9" t="str">
        <f>IF(G399="","",E399*G399)</f>
        <v/>
      </c>
      <c r="I399" s="11" t="str">
        <f>HYPERLINK("https://optomposuda.ru/product/konteyner-dlya-musora-romashka-35-l-s-perekidnym-verhom","открыть")</f>
        <v>открыть</v>
      </c>
    </row>
    <row r="400" spans="1:9" x14ac:dyDescent="0.25">
      <c r="A400" t="s">
        <v>1515</v>
      </c>
      <c r="B400" t="s">
        <v>1516</v>
      </c>
      <c r="C400" t="s">
        <v>763</v>
      </c>
      <c r="D400" s="8">
        <v>27</v>
      </c>
      <c r="E400" s="9">
        <v>149.57</v>
      </c>
      <c r="F400" s="8">
        <v>320</v>
      </c>
      <c r="G400" s="10"/>
      <c r="H400" s="9" t="str">
        <f>IF(G400="","",E400*G400)</f>
        <v/>
      </c>
      <c r="I400" s="11" t="str">
        <f>HYPERLINK("https://optomposuda.ru/product/konteyner-dlya-musora-romashka-5-l-s-perekidnym-verhom","открыть")</f>
        <v>открыть</v>
      </c>
    </row>
    <row r="401" spans="1:9" x14ac:dyDescent="0.25">
      <c r="A401" t="s">
        <v>1517</v>
      </c>
      <c r="B401" t="s">
        <v>1518</v>
      </c>
      <c r="C401" t="s">
        <v>763</v>
      </c>
      <c r="D401" s="8">
        <v>36</v>
      </c>
      <c r="E401" s="9">
        <v>100.06</v>
      </c>
      <c r="F401" s="8">
        <v>153</v>
      </c>
      <c r="G401" s="10"/>
      <c r="H401" s="9" t="str">
        <f>IF(G401="","",E401*G401)</f>
        <v/>
      </c>
      <c r="I401" s="11" t="str">
        <f>HYPERLINK("https://optomposuda.ru/product/konteyner-dlya-musora-proff-2-l-150-130-205","открыть")</f>
        <v>открыть</v>
      </c>
    </row>
    <row r="402" spans="1:9" x14ac:dyDescent="0.25">
      <c r="A402" t="s">
        <v>1519</v>
      </c>
      <c r="B402" t="s">
        <v>1520</v>
      </c>
      <c r="C402" t="s">
        <v>763</v>
      </c>
      <c r="D402" s="8">
        <v>24</v>
      </c>
      <c r="E402" s="9">
        <v>178.02</v>
      </c>
      <c r="F402" s="8">
        <v>87</v>
      </c>
      <c r="G402" s="10"/>
      <c r="H402" s="9" t="str">
        <f>IF(G402="","",E402*G402)</f>
        <v/>
      </c>
      <c r="I402" s="11" t="str">
        <f>HYPERLINK("https://optomposuda.ru/product/konteyner-dlya-musora-proff-5-l-220-170-260","открыть")</f>
        <v>открыть</v>
      </c>
    </row>
    <row r="403" spans="1:9" x14ac:dyDescent="0.25">
      <c r="A403" t="s">
        <v>1521</v>
      </c>
      <c r="B403" t="s">
        <v>1522</v>
      </c>
      <c r="C403" t="s">
        <v>763</v>
      </c>
      <c r="D403" s="8">
        <v>20</v>
      </c>
      <c r="E403" s="9">
        <v>295.75</v>
      </c>
      <c r="F403" s="8">
        <v>222</v>
      </c>
      <c r="G403" s="10"/>
      <c r="H403" s="9" t="str">
        <f>IF(G403="","",E403*G403)</f>
        <v/>
      </c>
      <c r="I403" s="11" t="str">
        <f>HYPERLINK("https://optomposuda.ru/product/konteyner-dlya-musora-proff-9-l-250-200-325","открыть")</f>
        <v>открыть</v>
      </c>
    </row>
    <row r="404" spans="1:9" x14ac:dyDescent="0.25">
      <c r="A404" t="s">
        <v>1523</v>
      </c>
      <c r="B404" t="s">
        <v>1524</v>
      </c>
      <c r="C404" t="s">
        <v>763</v>
      </c>
      <c r="D404" s="8">
        <v>4</v>
      </c>
      <c r="E404" s="9">
        <v>618.7</v>
      </c>
      <c r="F404" s="8">
        <v>16</v>
      </c>
      <c r="G404" s="10"/>
      <c r="H404" s="9" t="str">
        <f>IF(G404="","",E404*G404)</f>
        <v/>
      </c>
      <c r="I404" s="11" t="str">
        <f>HYPERLINK("https://optomposuda.ru/product/konteyner-dlya-musora-s-pedalyu-bingo-18-l","открыть")</f>
        <v>открыть</v>
      </c>
    </row>
    <row r="405" spans="1:9" x14ac:dyDescent="0.25">
      <c r="A405" t="s">
        <v>1525</v>
      </c>
      <c r="B405" t="s">
        <v>1526</v>
      </c>
      <c r="C405" t="s">
        <v>763</v>
      </c>
      <c r="D405" s="8">
        <v>6</v>
      </c>
      <c r="E405" s="9">
        <v>249.29</v>
      </c>
      <c r="F405" s="8">
        <v>5</v>
      </c>
      <c r="G405" s="10"/>
      <c r="H405" s="9" t="str">
        <f>IF(G405="","",E405*G405)</f>
        <v/>
      </c>
      <c r="I405" s="11" t="str">
        <f>HYPERLINK("https://optomposuda.ru/product/konteyner-dlya-musora-s-pedalyu-bingo-8-l","открыть")</f>
        <v>открыть</v>
      </c>
    </row>
    <row r="406" spans="1:9" x14ac:dyDescent="0.25">
      <c r="A406" t="s">
        <v>1527</v>
      </c>
      <c r="B406" t="s">
        <v>1528</v>
      </c>
      <c r="C406" t="s">
        <v>763</v>
      </c>
      <c r="D406" s="8">
        <v>8</v>
      </c>
      <c r="E406" s="9">
        <v>579.12</v>
      </c>
      <c r="F406" s="8">
        <v>71</v>
      </c>
      <c r="G406" s="10"/>
      <c r="H406" s="9" t="str">
        <f>IF(G406="","",E406*G406)</f>
        <v/>
      </c>
      <c r="I406" s="11" t="str">
        <f>HYPERLINK("https://optomposuda.ru/product/konteyner-dlya-musora-s-pedalyu-slim-10-l","открыть")</f>
        <v>открыть</v>
      </c>
    </row>
    <row r="407" spans="1:9" x14ac:dyDescent="0.25">
      <c r="A407" t="s">
        <v>1529</v>
      </c>
      <c r="B407" t="s">
        <v>1530</v>
      </c>
      <c r="C407" t="s">
        <v>763</v>
      </c>
      <c r="D407" s="8">
        <v>6</v>
      </c>
      <c r="E407" s="9">
        <v>685.95</v>
      </c>
      <c r="F407" s="8">
        <v>61</v>
      </c>
      <c r="G407" s="10"/>
      <c r="H407" s="9" t="str">
        <f>IF(G407="","",E407*G407)</f>
        <v/>
      </c>
      <c r="I407" s="11" t="str">
        <f>HYPERLINK("https://optomposuda.ru/product/konteyner-dlya-musora-s-pedalyu-slim-15-l","открыть")</f>
        <v>открыть</v>
      </c>
    </row>
    <row r="408" spans="1:9" x14ac:dyDescent="0.25">
      <c r="A408" t="s">
        <v>1531</v>
      </c>
      <c r="B408" t="s">
        <v>1532</v>
      </c>
      <c r="C408" t="s">
        <v>763</v>
      </c>
      <c r="D408" s="8">
        <v>4</v>
      </c>
      <c r="E408" s="9">
        <v>1006.43</v>
      </c>
      <c r="F408" s="8">
        <v>20</v>
      </c>
      <c r="G408" s="10"/>
      <c r="H408" s="9" t="str">
        <f>IF(G408="","",E408*G408)</f>
        <v/>
      </c>
      <c r="I408" s="11" t="str">
        <f>HYPERLINK("https://optomposuda.ru/product/konteyner-dlya-musora-s-pedalyu-slim-25-l","открыть")</f>
        <v>открыть</v>
      </c>
    </row>
    <row r="409" spans="1:9" x14ac:dyDescent="0.25">
      <c r="A409" t="s">
        <v>1533</v>
      </c>
      <c r="B409" t="s">
        <v>1534</v>
      </c>
      <c r="C409" t="s">
        <v>763</v>
      </c>
      <c r="D409" s="8">
        <v>4</v>
      </c>
      <c r="E409" s="9">
        <v>487.81</v>
      </c>
      <c r="F409" s="8">
        <v>9</v>
      </c>
      <c r="G409" s="10"/>
      <c r="H409" s="9" t="str">
        <f>IF(G409="","",E409*G409)</f>
        <v/>
      </c>
      <c r="I409" s="11" t="str">
        <f>HYPERLINK("https://optomposuda.ru/product/konteyner-dlya-musora-s-pedalyu-11-l-270h255h315","открыть")</f>
        <v>открыть</v>
      </c>
    </row>
    <row r="410" spans="1:9" x14ac:dyDescent="0.25">
      <c r="A410" t="s">
        <v>1535</v>
      </c>
      <c r="B410" t="s">
        <v>1536</v>
      </c>
      <c r="C410" t="s">
        <v>763</v>
      </c>
      <c r="D410" s="8">
        <v>4</v>
      </c>
      <c r="E410" s="9">
        <v>724.18</v>
      </c>
      <c r="F410" s="8">
        <v>17</v>
      </c>
      <c r="G410" s="10"/>
      <c r="H410" s="9" t="str">
        <f>IF(G410="","",E410*G410)</f>
        <v/>
      </c>
      <c r="I410" s="11" t="str">
        <f>HYPERLINK("https://optomposuda.ru/product/konteyner-dlya-musora-s-pedalyu-18-l","открыть")</f>
        <v>открыть</v>
      </c>
    </row>
    <row r="411" spans="1:9" x14ac:dyDescent="0.25">
      <c r="A411" t="s">
        <v>1537</v>
      </c>
      <c r="B411" t="s">
        <v>1538</v>
      </c>
      <c r="C411" t="s">
        <v>763</v>
      </c>
      <c r="D411" s="8">
        <v>6</v>
      </c>
      <c r="E411" s="9">
        <v>357.59</v>
      </c>
      <c r="F411" s="8">
        <v>77</v>
      </c>
      <c r="G411" s="10"/>
      <c r="H411" s="9" t="str">
        <f>IF(G411="","",E411*G411)</f>
        <v/>
      </c>
      <c r="I411" s="11" t="str">
        <f>HYPERLINK("https://optomposuda.ru/product/konteyner-dlya-musora-s-pedalyu-7-l-230h205h285","открыть")</f>
        <v>открыть</v>
      </c>
    </row>
    <row r="412" spans="1:9" x14ac:dyDescent="0.25">
      <c r="A412" t="s">
        <v>1539</v>
      </c>
      <c r="B412" t="s">
        <v>1540</v>
      </c>
      <c r="C412" t="s">
        <v>763</v>
      </c>
      <c r="D412" s="8">
        <v>20</v>
      </c>
      <c r="E412" s="9">
        <v>229.4</v>
      </c>
      <c r="F412" s="8">
        <v>40</v>
      </c>
      <c r="G412" s="10"/>
      <c r="H412" s="9" t="str">
        <f>IF(G412="","",E412*G412)</f>
        <v/>
      </c>
      <c r="I412" s="11" t="str">
        <f>HYPERLINK("https://optomposuda.ru/product/konteyner-dlya-poroshka-6-l","открыть")</f>
        <v>открыть</v>
      </c>
    </row>
    <row r="413" spans="1:9" x14ac:dyDescent="0.25">
      <c r="A413" t="s">
        <v>1541</v>
      </c>
      <c r="B413" t="s">
        <v>1542</v>
      </c>
      <c r="C413" t="s">
        <v>763</v>
      </c>
      <c r="D413" s="8">
        <v>6</v>
      </c>
      <c r="E413" s="9">
        <v>315.32</v>
      </c>
      <c r="F413" s="8">
        <v>26</v>
      </c>
      <c r="G413" s="10"/>
      <c r="H413" s="9" t="str">
        <f>IF(G413="","",E413*G413)</f>
        <v/>
      </c>
      <c r="I413" s="11" t="str">
        <f>HYPERLINK("https://optomposuda.ru/product/konteyner-dlya-hraneniya-elegance-14-l-315x305x8","открыть")</f>
        <v>открыть</v>
      </c>
    </row>
    <row r="414" spans="1:9" x14ac:dyDescent="0.25">
      <c r="A414" t="s">
        <v>1543</v>
      </c>
      <c r="B414" t="s">
        <v>1544</v>
      </c>
      <c r="C414" t="s">
        <v>763</v>
      </c>
      <c r="D414" s="8">
        <v>6</v>
      </c>
      <c r="E414" s="9">
        <v>409.32</v>
      </c>
      <c r="F414" s="8">
        <v>15</v>
      </c>
      <c r="G414" s="10"/>
      <c r="H414" s="9" t="str">
        <f>IF(G414="","",E414*G414)</f>
        <v/>
      </c>
      <c r="I414" s="11" t="str">
        <f>HYPERLINK("https://optomposuda.ru/product/konteyner-dlya-hraneniya-elegance-20-l-390h290h240","открыть")</f>
        <v>открыть</v>
      </c>
    </row>
    <row r="415" spans="1:9" x14ac:dyDescent="0.25">
      <c r="A415" t="s">
        <v>1545</v>
      </c>
      <c r="B415" t="s">
        <v>1546</v>
      </c>
      <c r="C415" t="s">
        <v>763</v>
      </c>
      <c r="D415" s="8">
        <v>12</v>
      </c>
      <c r="E415" s="9">
        <v>218.74</v>
      </c>
      <c r="F415" s="8">
        <v>21</v>
      </c>
      <c r="G415" s="10"/>
      <c r="H415" s="9" t="str">
        <f>IF(G415="","",E415*G415)</f>
        <v/>
      </c>
      <c r="I415" s="11" t="str">
        <f>HYPERLINK("https://optomposuda.ru/product/konteyner-dlya-hraneniya-elegance-9-l-353x255x139","открыть")</f>
        <v>открыть</v>
      </c>
    </row>
    <row r="416" spans="1:9" x14ac:dyDescent="0.25">
      <c r="A416" t="s">
        <v>1547</v>
      </c>
      <c r="B416" t="s">
        <v>1548</v>
      </c>
      <c r="C416" t="s">
        <v>763</v>
      </c>
      <c r="D416" s="8">
        <v>4</v>
      </c>
      <c r="E416" s="9">
        <v>667.29</v>
      </c>
      <c r="F416" s="8">
        <v>5</v>
      </c>
      <c r="G416" s="10"/>
      <c r="H416" s="9" t="str">
        <f>IF(G416="","",E416*G416)</f>
        <v/>
      </c>
      <c r="I416" s="11" t="str">
        <f>HYPERLINK("https://optomposuda.ru/product/konteyner-s-pedalyu-elegance-11-l","открыть")</f>
        <v>открыть</v>
      </c>
    </row>
    <row r="417" spans="1:9" x14ac:dyDescent="0.25">
      <c r="A417" t="s">
        <v>1549</v>
      </c>
      <c r="B417" t="s">
        <v>1550</v>
      </c>
      <c r="C417" t="s">
        <v>763</v>
      </c>
      <c r="D417" s="8">
        <v>4</v>
      </c>
      <c r="E417" s="9">
        <v>872.08</v>
      </c>
      <c r="F417" s="8">
        <v>25</v>
      </c>
      <c r="G417" s="10"/>
      <c r="H417" s="9" t="str">
        <f>IF(G417="","",E417*G417)</f>
        <v/>
      </c>
      <c r="I417" s="11" t="str">
        <f>HYPERLINK("https://optomposuda.ru/product/konteyner-s-pedalyu-elegance-18-l","открыть")</f>
        <v>открыть</v>
      </c>
    </row>
    <row r="418" spans="1:9" x14ac:dyDescent="0.25">
      <c r="A418" t="s">
        <v>1551</v>
      </c>
      <c r="B418" t="s">
        <v>1552</v>
      </c>
      <c r="C418" t="s">
        <v>763</v>
      </c>
      <c r="D418" s="8">
        <v>20</v>
      </c>
      <c r="E418" s="9">
        <v>291.51</v>
      </c>
      <c r="F418" s="8">
        <v>88</v>
      </c>
      <c r="G418" s="10"/>
      <c r="H418" s="9" t="str">
        <f>IF(G418="","",E418*G418)</f>
        <v/>
      </c>
      <c r="I418" s="11" t="str">
        <f>HYPERLINK("https://optomposuda.ru/product/korzina-universal-pryamoug-s-ruchkami-40-l","открыть")</f>
        <v>открыть</v>
      </c>
    </row>
    <row r="419" spans="1:9" x14ac:dyDescent="0.25">
      <c r="A419" t="s">
        <v>1553</v>
      </c>
      <c r="B419" t="s">
        <v>1554</v>
      </c>
      <c r="C419" t="s">
        <v>763</v>
      </c>
      <c r="D419" s="8">
        <v>5</v>
      </c>
      <c r="E419" s="9">
        <v>763.26</v>
      </c>
      <c r="F419" s="8">
        <v>8</v>
      </c>
      <c r="G419" s="10"/>
      <c r="H419" s="9" t="str">
        <f>IF(G419="","",E419*G419)</f>
        <v/>
      </c>
      <c r="I419" s="11" t="str">
        <f>HYPERLINK("https://optomposuda.ru/product/korzina-ariana-55-l","открыть")</f>
        <v>открыть</v>
      </c>
    </row>
    <row r="420" spans="1:9" x14ac:dyDescent="0.25">
      <c r="A420" t="s">
        <v>1555</v>
      </c>
      <c r="B420" t="s">
        <v>1556</v>
      </c>
      <c r="C420" t="s">
        <v>763</v>
      </c>
      <c r="D420" s="8">
        <v>10</v>
      </c>
      <c r="E420" s="9">
        <v>440.9</v>
      </c>
      <c r="F420" s="8">
        <v>6</v>
      </c>
      <c r="G420" s="10"/>
      <c r="H420" s="9" t="str">
        <f>IF(G420="","",E420*G420)</f>
        <v/>
      </c>
      <c r="I420" s="11" t="str">
        <f>HYPERLINK("https://optomposuda.ru/product/korzina-dlya-belya-viola-25-l","открыть")</f>
        <v>открыть</v>
      </c>
    </row>
    <row r="421" spans="1:9" x14ac:dyDescent="0.25">
      <c r="A421" t="s">
        <v>1557</v>
      </c>
      <c r="B421" t="s">
        <v>1558</v>
      </c>
      <c r="C421" t="s">
        <v>763</v>
      </c>
      <c r="D421" s="8">
        <v>15</v>
      </c>
      <c r="E421" s="9">
        <v>525.15</v>
      </c>
      <c r="F421" s="8">
        <v>27</v>
      </c>
      <c r="G421" s="10"/>
      <c r="H421" s="9" t="str">
        <f>IF(G421="","",E421*G421)</f>
        <v/>
      </c>
      <c r="I421" s="11" t="str">
        <f>HYPERLINK("https://optomposuda.ru/product/korzina-dlya-belya-viola-30-l","открыть")</f>
        <v>открыть</v>
      </c>
    </row>
    <row r="422" spans="1:9" x14ac:dyDescent="0.25">
      <c r="A422" t="s">
        <v>1559</v>
      </c>
      <c r="B422" t="s">
        <v>1560</v>
      </c>
      <c r="C422" t="s">
        <v>763</v>
      </c>
      <c r="D422" s="8">
        <v>10</v>
      </c>
      <c r="E422" s="9">
        <v>648.88</v>
      </c>
      <c r="F422" s="8">
        <v>12</v>
      </c>
      <c r="G422" s="10"/>
      <c r="H422" s="9" t="str">
        <f>IF(G422="","",E422*G422)</f>
        <v/>
      </c>
      <c r="I422" s="11" t="str">
        <f>HYPERLINK("https://optomposuda.ru/product/korzina-dlya-belya-viola-50-l","открыть")</f>
        <v>открыть</v>
      </c>
    </row>
    <row r="423" spans="1:9" x14ac:dyDescent="0.25">
      <c r="A423" t="s">
        <v>1561</v>
      </c>
      <c r="B423" t="s">
        <v>1562</v>
      </c>
      <c r="C423" t="s">
        <v>763</v>
      </c>
      <c r="D423" s="8">
        <v>6</v>
      </c>
      <c r="E423" s="9">
        <v>690.44</v>
      </c>
      <c r="F423" s="8">
        <v>31</v>
      </c>
      <c r="G423" s="10"/>
      <c r="H423" s="9" t="str">
        <f>IF(G423="","",E423*G423)</f>
        <v/>
      </c>
      <c r="I423" s="11" t="str">
        <f>HYPERLINK("https://optomposuda.ru/product/korzina-dlya-belya-elegance-36-l","открыть")</f>
        <v>открыть</v>
      </c>
    </row>
    <row r="424" spans="1:9" x14ac:dyDescent="0.25">
      <c r="A424" t="s">
        <v>1563</v>
      </c>
      <c r="B424" t="s">
        <v>1564</v>
      </c>
      <c r="C424" t="s">
        <v>763</v>
      </c>
      <c r="D424" s="8">
        <v>10</v>
      </c>
      <c r="E424" s="9">
        <v>519.56</v>
      </c>
      <c r="F424" s="8">
        <v>17</v>
      </c>
      <c r="G424" s="10"/>
      <c r="H424" s="9" t="str">
        <f>IF(G424="","",E424*G424)</f>
        <v/>
      </c>
      <c r="I424" s="11" t="str">
        <f>HYPERLINK("https://optomposuda.ru/product/korzina-dlya-belya-paola-30-l-ovalnaya","открыть")</f>
        <v>открыть</v>
      </c>
    </row>
    <row r="425" spans="1:9" x14ac:dyDescent="0.25">
      <c r="A425" t="s">
        <v>1565</v>
      </c>
      <c r="B425" t="s">
        <v>1566</v>
      </c>
      <c r="C425" t="s">
        <v>763</v>
      </c>
      <c r="D425" s="8">
        <v>6</v>
      </c>
      <c r="E425" s="9">
        <v>778.15</v>
      </c>
      <c r="F425" s="8">
        <v>60</v>
      </c>
      <c r="G425" s="10"/>
      <c r="H425" s="9" t="str">
        <f>IF(G425="","",E425*G425)</f>
        <v/>
      </c>
      <c r="I425" s="11" t="str">
        <f>HYPERLINK("https://optomposuda.ru/product/korzina-dlya-belya-paola-37-l","открыть")</f>
        <v>открыть</v>
      </c>
    </row>
    <row r="426" spans="1:9" x14ac:dyDescent="0.25">
      <c r="A426" t="s">
        <v>1567</v>
      </c>
      <c r="B426" t="s">
        <v>1568</v>
      </c>
      <c r="C426" t="s">
        <v>763</v>
      </c>
      <c r="D426" s="8">
        <v>5</v>
      </c>
      <c r="E426" s="9">
        <v>1046.92</v>
      </c>
      <c r="F426" s="8">
        <v>98</v>
      </c>
      <c r="G426" s="10"/>
      <c r="H426" s="9" t="str">
        <f>IF(G426="","",E426*G426)</f>
        <v/>
      </c>
      <c r="I426" s="11" t="str">
        <f>HYPERLINK("https://optomposuda.ru/product/korzina-dlya-belya-paola-55-l","открыть")</f>
        <v>открыть</v>
      </c>
    </row>
    <row r="427" spans="1:9" x14ac:dyDescent="0.25">
      <c r="A427" t="s">
        <v>1569</v>
      </c>
      <c r="B427" t="s">
        <v>1570</v>
      </c>
      <c r="C427" t="s">
        <v>763</v>
      </c>
      <c r="D427" s="8">
        <v>10</v>
      </c>
      <c r="E427" s="9">
        <v>517.58</v>
      </c>
      <c r="F427" s="8">
        <v>21</v>
      </c>
      <c r="G427" s="10"/>
      <c r="H427" s="9" t="str">
        <f>IF(G427="","",E427*G427)</f>
        <v/>
      </c>
      <c r="I427" s="11" t="str">
        <f>HYPERLINK("https://optomposuda.ru/product/korzina-dlya-belya-45-l-uglovaya","открыть")</f>
        <v>открыть</v>
      </c>
    </row>
    <row r="428" spans="1:9" x14ac:dyDescent="0.25">
      <c r="A428" t="s">
        <v>1571</v>
      </c>
      <c r="B428" t="s">
        <v>1572</v>
      </c>
      <c r="C428" t="s">
        <v>763</v>
      </c>
      <c r="D428" s="8">
        <v>20</v>
      </c>
      <c r="E428" s="9">
        <v>121.45</v>
      </c>
      <c r="F428" s="8">
        <v>40</v>
      </c>
      <c r="G428" s="10"/>
      <c r="H428" s="9" t="str">
        <f>IF(G428="","",E428*G428)</f>
        <v/>
      </c>
      <c r="I428" s="11" t="str">
        <f>HYPERLINK("https://optomposuda.ru/product/korzina-ofisnaya-vega-265h290-plastik-cveta-v-assortim","открыть")</f>
        <v>открыть</v>
      </c>
    </row>
    <row r="429" spans="1:9" x14ac:dyDescent="0.25">
      <c r="A429" t="s">
        <v>1573</v>
      </c>
      <c r="B429" t="s">
        <v>1574</v>
      </c>
      <c r="C429" t="s">
        <v>763</v>
      </c>
      <c r="D429" s="8">
        <v>48</v>
      </c>
      <c r="E429" s="9">
        <v>55.85</v>
      </c>
      <c r="F429" s="8">
        <v>180</v>
      </c>
      <c r="G429" s="10"/>
      <c r="H429" s="9" t="str">
        <f>IF(G429="","",E429*G429)</f>
        <v/>
      </c>
      <c r="I429" s="11" t="str">
        <f>HYPERLINK("https://optomposuda.ru/product/korzinka-ariana-1-25-l","открыть")</f>
        <v>открыть</v>
      </c>
    </row>
    <row r="430" spans="1:9" x14ac:dyDescent="0.25">
      <c r="A430" t="s">
        <v>1575</v>
      </c>
      <c r="B430" t="s">
        <v>1576</v>
      </c>
      <c r="C430" t="s">
        <v>763</v>
      </c>
      <c r="D430" s="8">
        <v>10</v>
      </c>
      <c r="E430" s="9">
        <v>219.75</v>
      </c>
      <c r="F430" s="8">
        <v>363</v>
      </c>
      <c r="G430" s="10"/>
      <c r="H430" s="9" t="str">
        <f>IF(G430="","",E430*G430)</f>
        <v/>
      </c>
      <c r="I430" s="11" t="str">
        <f>HYPERLINK("https://optomposuda.ru/product/korzinka-ariana-12-l-s-kryshkoy","открыть")</f>
        <v>открыть</v>
      </c>
    </row>
    <row r="431" spans="1:9" x14ac:dyDescent="0.25">
      <c r="A431" t="s">
        <v>1577</v>
      </c>
      <c r="B431" t="s">
        <v>1578</v>
      </c>
      <c r="C431" t="s">
        <v>763</v>
      </c>
      <c r="D431" s="8">
        <v>36</v>
      </c>
      <c r="E431" s="9">
        <v>82.84</v>
      </c>
      <c r="F431" s="8">
        <v>225</v>
      </c>
      <c r="G431" s="10"/>
      <c r="H431" s="9" t="str">
        <f>IF(G431="","",E431*G431)</f>
        <v/>
      </c>
      <c r="I431" s="11" t="str">
        <f>HYPERLINK("https://optomposuda.ru/product/korzinka-ariana-2-75-l","открыть")</f>
        <v>открыть</v>
      </c>
    </row>
    <row r="432" spans="1:9" x14ac:dyDescent="0.25">
      <c r="A432" t="s">
        <v>1579</v>
      </c>
      <c r="B432" t="s">
        <v>1580</v>
      </c>
      <c r="C432" t="s">
        <v>763</v>
      </c>
      <c r="D432" s="8">
        <v>24</v>
      </c>
      <c r="E432" s="9">
        <v>111.05</v>
      </c>
      <c r="F432" s="8">
        <v>56</v>
      </c>
      <c r="G432" s="10"/>
      <c r="H432" s="9" t="str">
        <f>IF(G432="","",E432*G432)</f>
        <v/>
      </c>
      <c r="I432" s="11" t="str">
        <f>HYPERLINK("https://optomposuda.ru/product/korzinka-ariana-3-l-s-kryshkoy","открыть")</f>
        <v>открыть</v>
      </c>
    </row>
    <row r="433" spans="1:9" x14ac:dyDescent="0.25">
      <c r="A433" t="s">
        <v>1581</v>
      </c>
      <c r="B433" t="s">
        <v>1582</v>
      </c>
      <c r="C433" t="s">
        <v>763</v>
      </c>
      <c r="D433" s="8">
        <v>22</v>
      </c>
      <c r="E433" s="9">
        <v>141.95</v>
      </c>
      <c r="F433" s="8">
        <v>118</v>
      </c>
      <c r="G433" s="10"/>
      <c r="H433" s="9" t="str">
        <f>IF(G433="","",E433*G433)</f>
        <v/>
      </c>
      <c r="I433" s="11" t="str">
        <f>HYPERLINK("https://optomposuda.ru/product/korzinka-ariana-5-4-l","открыть")</f>
        <v>открыть</v>
      </c>
    </row>
    <row r="434" spans="1:9" x14ac:dyDescent="0.25">
      <c r="A434" t="s">
        <v>1583</v>
      </c>
      <c r="B434" t="s">
        <v>1584</v>
      </c>
      <c r="C434" t="s">
        <v>763</v>
      </c>
      <c r="D434" s="8">
        <v>16</v>
      </c>
      <c r="E434" s="9">
        <v>169.87</v>
      </c>
      <c r="F434" s="8">
        <v>252</v>
      </c>
      <c r="G434" s="10"/>
      <c r="H434" s="9" t="str">
        <f>IF(G434="","",E434*G434)</f>
        <v/>
      </c>
      <c r="I434" s="11" t="str">
        <f>HYPERLINK("https://optomposuda.ru/product/korzinka-ariana-6-l-s-kryshkoy","открыть")</f>
        <v>открыть</v>
      </c>
    </row>
    <row r="435" spans="1:9" x14ac:dyDescent="0.25">
      <c r="A435" t="s">
        <v>1585</v>
      </c>
      <c r="B435" t="s">
        <v>1586</v>
      </c>
      <c r="C435" t="s">
        <v>763</v>
      </c>
      <c r="D435" s="8">
        <v>12</v>
      </c>
      <c r="E435" s="9">
        <v>236.15</v>
      </c>
      <c r="F435" s="8">
        <v>256</v>
      </c>
      <c r="G435" s="10"/>
      <c r="H435" s="9" t="str">
        <f>IF(G435="","",E435*G435)</f>
        <v/>
      </c>
      <c r="I435" s="11" t="str">
        <f>HYPERLINK("https://optomposuda.ru/product/korzinka-paola-19-l","открыть")</f>
        <v>открыть</v>
      </c>
    </row>
    <row r="436" spans="1:9" x14ac:dyDescent="0.25">
      <c r="A436" t="s">
        <v>1587</v>
      </c>
      <c r="B436" t="s">
        <v>1588</v>
      </c>
      <c r="C436" t="s">
        <v>763</v>
      </c>
      <c r="D436" s="8">
        <v>32</v>
      </c>
      <c r="E436" s="9">
        <v>96.58</v>
      </c>
      <c r="F436" s="8">
        <v>288</v>
      </c>
      <c r="G436" s="10"/>
      <c r="H436" s="9" t="str">
        <f>IF(G436="","",E436*G436)</f>
        <v/>
      </c>
      <c r="I436" s="11" t="str">
        <f>HYPERLINK("https://optomposuda.ru/product/korzinka-paola-3-l","открыть")</f>
        <v>открыть</v>
      </c>
    </row>
    <row r="437" spans="1:9" x14ac:dyDescent="0.25">
      <c r="A437" t="s">
        <v>1589</v>
      </c>
      <c r="B437" t="s">
        <v>1590</v>
      </c>
      <c r="C437" t="s">
        <v>763</v>
      </c>
      <c r="D437" s="8">
        <v>24</v>
      </c>
      <c r="E437" s="9">
        <v>148.42</v>
      </c>
      <c r="F437" s="8">
        <v>70</v>
      </c>
      <c r="G437" s="10"/>
      <c r="H437" s="9" t="str">
        <f>IF(G437="","",E437*G437)</f>
        <v/>
      </c>
      <c r="I437" s="11" t="str">
        <f>HYPERLINK("https://optomposuda.ru/product/korzinka-paola-8-l","открыть")</f>
        <v>открыть</v>
      </c>
    </row>
    <row r="438" spans="1:9" x14ac:dyDescent="0.25">
      <c r="A438" t="s">
        <v>1591</v>
      </c>
      <c r="B438" t="s">
        <v>1592</v>
      </c>
      <c r="C438" t="s">
        <v>763</v>
      </c>
      <c r="D438" s="8">
        <v>48</v>
      </c>
      <c r="E438" s="9">
        <v>73.44</v>
      </c>
      <c r="F438" s="8">
        <v>192</v>
      </c>
      <c r="G438" s="10"/>
      <c r="H438" s="9" t="str">
        <f>IF(G438="","",E438*G438)</f>
        <v/>
      </c>
      <c r="I438" s="11" t="str">
        <f>HYPERLINK("https://optomposuda.ru/product/korzinka-dlya-prischepok-podvesnaya","открыть")</f>
        <v>открыть</v>
      </c>
    </row>
    <row r="439" spans="1:9" x14ac:dyDescent="0.25">
      <c r="A439" t="s">
        <v>1593</v>
      </c>
      <c r="B439" t="s">
        <v>1594</v>
      </c>
      <c r="C439" t="s">
        <v>763</v>
      </c>
      <c r="D439" s="8">
        <v>30</v>
      </c>
      <c r="E439" s="9">
        <v>131.57</v>
      </c>
      <c r="F439" s="8">
        <v>1156</v>
      </c>
      <c r="G439" s="10"/>
      <c r="H439" s="9" t="str">
        <f>IF(G439="","",E439*G439)</f>
        <v/>
      </c>
      <c r="I439" s="11" t="str">
        <f>HYPERLINK("https://optomposuda.ru/product/leyka-liliya-1-4-l","открыть")</f>
        <v>открыть</v>
      </c>
    </row>
    <row r="440" spans="1:9" x14ac:dyDescent="0.25">
      <c r="A440" t="s">
        <v>1595</v>
      </c>
      <c r="B440" t="s">
        <v>1596</v>
      </c>
      <c r="C440" t="s">
        <v>763</v>
      </c>
      <c r="D440" s="8">
        <v>10</v>
      </c>
      <c r="E440" s="9">
        <v>257.71</v>
      </c>
      <c r="F440" s="8">
        <v>96</v>
      </c>
      <c r="G440" s="10"/>
      <c r="H440" s="9" t="str">
        <f>IF(G440="","",E440*G440)</f>
        <v/>
      </c>
      <c r="I440" s="11" t="str">
        <f>HYPERLINK("https://optomposuda.ru/product/leyka-10-l","открыть")</f>
        <v>открыть</v>
      </c>
    </row>
    <row r="441" spans="1:9" x14ac:dyDescent="0.25">
      <c r="A441" t="s">
        <v>1597</v>
      </c>
      <c r="B441" t="s">
        <v>1598</v>
      </c>
      <c r="C441" t="s">
        <v>763</v>
      </c>
      <c r="D441" s="8">
        <v>12</v>
      </c>
      <c r="E441" s="9">
        <v>188.68</v>
      </c>
      <c r="F441" s="8">
        <v>98</v>
      </c>
      <c r="G441" s="10"/>
      <c r="H441" s="9" t="str">
        <f>IF(G441="","",E441*G441)</f>
        <v/>
      </c>
      <c r="I441" s="11" t="str">
        <f>HYPERLINK("https://optomposuda.ru/product/leyka-7-l","открыть")</f>
        <v>открыть</v>
      </c>
    </row>
    <row r="442" spans="1:9" x14ac:dyDescent="0.25">
      <c r="A442" t="s">
        <v>1599</v>
      </c>
      <c r="B442" t="s">
        <v>1600</v>
      </c>
      <c r="C442" t="s">
        <v>763</v>
      </c>
      <c r="D442" s="8">
        <v>12</v>
      </c>
      <c r="E442" s="9">
        <v>282.26</v>
      </c>
      <c r="F442" s="8">
        <v>118</v>
      </c>
      <c r="G442" s="10"/>
      <c r="H442" s="9" t="str">
        <f>IF(G442="","",E442*G442)</f>
        <v/>
      </c>
      <c r="I442" s="11" t="str">
        <f>HYPERLINK("https://optomposuda.ru/product/metla-dlya-ulicy-meteor","открыть")</f>
        <v>открыть</v>
      </c>
    </row>
    <row r="443" spans="1:9" x14ac:dyDescent="0.25">
      <c r="A443" t="s">
        <v>1601</v>
      </c>
      <c r="B443" t="s">
        <v>1602</v>
      </c>
      <c r="C443" t="s">
        <v>763</v>
      </c>
      <c r="D443" s="8">
        <v>100</v>
      </c>
      <c r="E443" s="9">
        <v>34.87</v>
      </c>
      <c r="F443" s="8">
        <v>655</v>
      </c>
      <c r="G443" s="10"/>
      <c r="H443" s="9" t="str">
        <f>IF(G443="","",E443*G443)</f>
        <v/>
      </c>
      <c r="I443" s="11" t="str">
        <f>HYPERLINK("https://optomposuda.ru/product/muhoboyka-cvetochek","открыть")</f>
        <v>открыть</v>
      </c>
    </row>
    <row r="444" spans="1:9" x14ac:dyDescent="0.25">
      <c r="A444" t="s">
        <v>1603</v>
      </c>
      <c r="B444" t="s">
        <v>1604</v>
      </c>
      <c r="C444" t="s">
        <v>763</v>
      </c>
      <c r="D444" s="8">
        <v>24</v>
      </c>
      <c r="E444" s="9">
        <v>270.37</v>
      </c>
      <c r="F444" s="8">
        <v>163</v>
      </c>
      <c r="G444" s="10"/>
      <c r="H444" s="9" t="str">
        <f>IF(G444="","",E444*G444)</f>
        <v/>
      </c>
      <c r="I444" s="11" t="str">
        <f>HYPERLINK("https://optomposuda.ru/product/nabor-duet-venik-s-sovkom","открыть")</f>
        <v>открыть</v>
      </c>
    </row>
    <row r="445" spans="1:9" x14ac:dyDescent="0.25">
      <c r="A445" t="s">
        <v>1605</v>
      </c>
      <c r="B445" t="s">
        <v>1606</v>
      </c>
      <c r="C445" t="s">
        <v>763</v>
      </c>
      <c r="D445" s="8">
        <v>12</v>
      </c>
      <c r="E445" s="9">
        <v>525.15</v>
      </c>
      <c r="F445" s="8">
        <v>134</v>
      </c>
      <c r="G445" s="10"/>
      <c r="H445" s="9" t="str">
        <f>IF(G445="","",E445*G445)</f>
        <v/>
      </c>
      <c r="I445" s="11" t="str">
        <f>HYPERLINK("https://optomposuda.ru/product/nabor-tandem-venik-s-sovkom","открыть")</f>
        <v>открыть</v>
      </c>
    </row>
    <row r="446" spans="1:9" x14ac:dyDescent="0.25">
      <c r="A446" t="s">
        <v>1607</v>
      </c>
      <c r="B446" t="s">
        <v>1608</v>
      </c>
      <c r="C446" t="s">
        <v>763</v>
      </c>
      <c r="D446" s="8">
        <v>12</v>
      </c>
      <c r="E446" s="9">
        <v>603.86</v>
      </c>
      <c r="F446" s="8">
        <v>193</v>
      </c>
      <c r="G446" s="10"/>
      <c r="H446" s="9" t="str">
        <f>IF(G446="","",E446*G446)</f>
        <v/>
      </c>
      <c r="I446" s="11" t="str">
        <f>HYPERLINK("https://optomposuda.ru/product/nabor-tandem-venik-s-sovkom-bolshoy","открыть")</f>
        <v>открыть</v>
      </c>
    </row>
    <row r="447" spans="1:9" x14ac:dyDescent="0.25">
      <c r="A447" t="s">
        <v>1609</v>
      </c>
      <c r="B447" t="s">
        <v>1610</v>
      </c>
      <c r="C447" t="s">
        <v>763</v>
      </c>
      <c r="D447" s="8">
        <v>16</v>
      </c>
      <c r="E447" s="9">
        <v>449.85</v>
      </c>
      <c r="F447" s="8">
        <v>99</v>
      </c>
      <c r="G447" s="10"/>
      <c r="H447" s="9" t="str">
        <f>IF(G447="","",E447*G447)</f>
        <v/>
      </c>
      <c r="I447" s="11" t="str">
        <f>HYPERLINK("https://optomposuda.ru/product/nabor-sweep-venik-s-sovkom","открыть")</f>
        <v>открыть</v>
      </c>
    </row>
    <row r="448" spans="1:9" x14ac:dyDescent="0.25">
      <c r="A448" t="s">
        <v>1611</v>
      </c>
      <c r="B448" t="s">
        <v>1612</v>
      </c>
      <c r="C448" t="s">
        <v>763</v>
      </c>
      <c r="D448" s="8">
        <v>6</v>
      </c>
      <c r="E448" s="9">
        <v>306.03</v>
      </c>
      <c r="F448" s="8">
        <v>25</v>
      </c>
      <c r="G448" s="10"/>
      <c r="H448" s="9" t="str">
        <f>IF(G448="","",E448*G448)</f>
        <v/>
      </c>
      <c r="I448" s="11" t="str">
        <f>HYPERLINK("https://optomposuda.ru/product/organayzer-stormax-aptechka","открыть")</f>
        <v>открыть</v>
      </c>
    </row>
    <row r="449" spans="1:9" x14ac:dyDescent="0.25">
      <c r="A449" t="s">
        <v>1613</v>
      </c>
      <c r="B449" t="s">
        <v>1614</v>
      </c>
      <c r="C449" t="s">
        <v>763</v>
      </c>
      <c r="D449" s="8">
        <v>6</v>
      </c>
      <c r="E449" s="9">
        <v>345.62</v>
      </c>
      <c r="F449" s="8">
        <v>12</v>
      </c>
      <c r="G449" s="10"/>
      <c r="H449" s="9" t="str">
        <f>IF(G449="","",E449*G449)</f>
        <v/>
      </c>
      <c r="I449" s="11" t="str">
        <f>HYPERLINK("https://optomposuda.ru/product/organayzer-stormax-10-l-universalnyy-so-vstavkoy","открыть")</f>
        <v>открыть</v>
      </c>
    </row>
    <row r="450" spans="1:9" x14ac:dyDescent="0.25">
      <c r="A450" t="s">
        <v>1615</v>
      </c>
      <c r="B450" t="s">
        <v>1616</v>
      </c>
      <c r="C450" t="s">
        <v>763</v>
      </c>
      <c r="D450" s="8">
        <v>24</v>
      </c>
      <c r="E450" s="9">
        <v>115.05</v>
      </c>
      <c r="F450" s="8">
        <v>137</v>
      </c>
      <c r="G450" s="10"/>
      <c r="H450" s="9" t="str">
        <f>IF(G450="","",E450*G450)</f>
        <v/>
      </c>
      <c r="I450" s="11" t="str">
        <f>HYPERLINK("https://optomposuda.ru/product/organayzer-swift-bolshoy","открыть")</f>
        <v>открыть</v>
      </c>
    </row>
    <row r="451" spans="1:9" x14ac:dyDescent="0.25">
      <c r="A451" t="s">
        <v>1617</v>
      </c>
      <c r="B451" t="s">
        <v>1618</v>
      </c>
      <c r="C451" t="s">
        <v>763</v>
      </c>
      <c r="D451" s="8">
        <v>36</v>
      </c>
      <c r="E451" s="9">
        <v>96.58</v>
      </c>
      <c r="F451" s="8">
        <v>262</v>
      </c>
      <c r="G451" s="10"/>
      <c r="H451" s="9" t="str">
        <f>IF(G451="","",E451*G451)</f>
        <v/>
      </c>
      <c r="I451" s="11" t="str">
        <f>HYPERLINK("https://optomposuda.ru/product/organayzer-swift-malyy","открыть")</f>
        <v>открыть</v>
      </c>
    </row>
    <row r="452" spans="1:9" x14ac:dyDescent="0.25">
      <c r="A452" t="s">
        <v>1619</v>
      </c>
      <c r="B452" t="s">
        <v>1620</v>
      </c>
      <c r="C452" t="s">
        <v>763</v>
      </c>
      <c r="D452" s="8">
        <v>24</v>
      </c>
      <c r="E452" s="9">
        <v>110.45</v>
      </c>
      <c r="F452" s="8">
        <v>208</v>
      </c>
      <c r="G452" s="10"/>
      <c r="H452" s="9" t="str">
        <f>IF(G452="","",E452*G452)</f>
        <v/>
      </c>
      <c r="I452" s="11" t="str">
        <f>HYPERLINK("https://optomposuda.ru/product/organayzer-swift-sredniy","открыть")</f>
        <v>открыть</v>
      </c>
    </row>
    <row r="453" spans="1:9" x14ac:dyDescent="0.25">
      <c r="A453" t="s">
        <v>1621</v>
      </c>
      <c r="B453" t="s">
        <v>1622</v>
      </c>
      <c r="C453" t="s">
        <v>763</v>
      </c>
      <c r="D453" s="8">
        <v>48</v>
      </c>
      <c r="E453" s="9">
        <v>93.08</v>
      </c>
      <c r="F453" s="8">
        <v>222</v>
      </c>
      <c r="G453" s="10"/>
      <c r="H453" s="9" t="str">
        <f>IF(G453="","",E453*G453)</f>
        <v/>
      </c>
      <c r="I453" s="11" t="str">
        <f>HYPERLINK("https://optomposuda.ru/product/sovok-zolushka-155h30h400","открыть")</f>
        <v>открыть</v>
      </c>
    </row>
    <row r="454" spans="1:9" x14ac:dyDescent="0.25">
      <c r="A454" t="s">
        <v>1623</v>
      </c>
      <c r="B454" t="s">
        <v>1624</v>
      </c>
      <c r="C454" t="s">
        <v>763</v>
      </c>
      <c r="D454" s="8">
        <v>90</v>
      </c>
      <c r="E454" s="9">
        <v>45.38</v>
      </c>
      <c r="F454" s="8">
        <v>8</v>
      </c>
      <c r="G454" s="10"/>
      <c r="H454" s="9" t="str">
        <f>IF(G454="","",E454*G454)</f>
        <v/>
      </c>
      <c r="I454" s="11" t="str">
        <f>HYPERLINK("https://optomposuda.ru/product/sovok-chistyulya-220h315h60","открыть")</f>
        <v>открыть</v>
      </c>
    </row>
    <row r="455" spans="1:9" x14ac:dyDescent="0.25">
      <c r="A455" t="s">
        <v>1625</v>
      </c>
      <c r="B455" t="s">
        <v>1626</v>
      </c>
      <c r="C455" t="s">
        <v>763</v>
      </c>
      <c r="D455" s="8">
        <v>55</v>
      </c>
      <c r="E455" s="9">
        <v>95.59</v>
      </c>
      <c r="F455" s="8">
        <v>261</v>
      </c>
      <c r="G455" s="10"/>
      <c r="H455" s="9" t="str">
        <f>IF(G455="","",E455*G455)</f>
        <v/>
      </c>
      <c r="I455" s="11" t="str">
        <f>HYPERLINK("https://optomposuda.ru/product/sovok-dlya-musora-lastochka-235h225h235","открыть")</f>
        <v>открыть</v>
      </c>
    </row>
    <row r="456" spans="1:9" x14ac:dyDescent="0.25">
      <c r="A456" t="s">
        <v>1627</v>
      </c>
      <c r="B456" t="s">
        <v>1628</v>
      </c>
      <c r="C456" t="s">
        <v>763</v>
      </c>
      <c r="D456" s="8">
        <v>1</v>
      </c>
      <c r="E456" s="9">
        <v>167.97</v>
      </c>
      <c r="F456" s="8">
        <v>261</v>
      </c>
      <c r="G456" s="10"/>
      <c r="H456" s="9" t="str">
        <f>IF(G456="","",E456*G456)</f>
        <v/>
      </c>
      <c r="I456" s="11" t="str">
        <f>HYPERLINK("https://optomposuda.ru/product/taz-atlant-12-l-cveta-v-assort","открыть")</f>
        <v>открыть</v>
      </c>
    </row>
    <row r="457" spans="1:9" x14ac:dyDescent="0.25">
      <c r="A457" t="s">
        <v>1629</v>
      </c>
      <c r="B457" t="s">
        <v>1630</v>
      </c>
      <c r="C457" t="s">
        <v>763</v>
      </c>
      <c r="D457" s="8">
        <v>1</v>
      </c>
      <c r="E457" s="9">
        <v>245.06</v>
      </c>
      <c r="F457" s="8">
        <v>243</v>
      </c>
      <c r="G457" s="10"/>
      <c r="H457" s="9" t="str">
        <f>IF(G457="","",E457*G457)</f>
        <v/>
      </c>
      <c r="I457" s="11" t="str">
        <f>HYPERLINK("https://optomposuda.ru/product/taz-atlant-18-l-cveta-v-assort","открыть")</f>
        <v>открыть</v>
      </c>
    </row>
    <row r="458" spans="1:9" x14ac:dyDescent="0.25">
      <c r="A458" t="s">
        <v>1631</v>
      </c>
      <c r="B458" t="s">
        <v>1632</v>
      </c>
      <c r="C458" t="s">
        <v>763</v>
      </c>
      <c r="D458" s="8">
        <v>1</v>
      </c>
      <c r="E458" s="9">
        <v>347.45</v>
      </c>
      <c r="F458" s="8">
        <v>48</v>
      </c>
      <c r="G458" s="10"/>
      <c r="H458" s="9" t="str">
        <f>IF(G458="","",E458*G458)</f>
        <v/>
      </c>
      <c r="I458" s="11" t="str">
        <f>HYPERLINK("https://optomposuda.ru/product/taz-atlant-28-l-cveta-v-assort","открыть")</f>
        <v>открыть</v>
      </c>
    </row>
    <row r="459" spans="1:9" x14ac:dyDescent="0.25">
      <c r="A459" t="s">
        <v>1633</v>
      </c>
      <c r="B459" t="s">
        <v>1634</v>
      </c>
      <c r="C459" t="s">
        <v>763</v>
      </c>
      <c r="D459" s="8">
        <v>1</v>
      </c>
      <c r="E459" s="9">
        <v>553.4</v>
      </c>
      <c r="F459" s="8">
        <v>19</v>
      </c>
      <c r="G459" s="10"/>
      <c r="H459" s="9" t="str">
        <f>IF(G459="","",E459*G459)</f>
        <v/>
      </c>
      <c r="I459" s="11" t="str">
        <f>HYPERLINK("https://optomposuda.ru/product/taz-atlant-45-l-670h190-cveta-v-assort","открыть")</f>
        <v>открыть</v>
      </c>
    </row>
    <row r="460" spans="1:9" x14ac:dyDescent="0.25">
      <c r="A460" t="s">
        <v>1635</v>
      </c>
      <c r="B460" t="s">
        <v>1636</v>
      </c>
      <c r="C460" t="s">
        <v>763</v>
      </c>
      <c r="D460" s="8">
        <v>1</v>
      </c>
      <c r="E460" s="9">
        <v>637.59</v>
      </c>
      <c r="F460" s="8">
        <v>75</v>
      </c>
      <c r="G460" s="10"/>
      <c r="H460" s="9" t="str">
        <f>IF(G460="","",E460*G460)</f>
        <v/>
      </c>
      <c r="I460" s="11" t="str">
        <f>HYPERLINK("https://optomposuda.ru/product/taz-atlant-60-l-750h200-cveta-v-assort","открыть")</f>
        <v>открыть</v>
      </c>
    </row>
    <row r="461" spans="1:9" x14ac:dyDescent="0.25">
      <c r="A461" t="s">
        <v>1637</v>
      </c>
      <c r="B461" t="s">
        <v>1638</v>
      </c>
      <c r="C461" t="s">
        <v>763</v>
      </c>
      <c r="D461" s="8">
        <v>1</v>
      </c>
      <c r="E461" s="9">
        <v>114.22</v>
      </c>
      <c r="F461" s="8">
        <v>247</v>
      </c>
      <c r="G461" s="10"/>
      <c r="H461" s="9" t="str">
        <f>IF(G461="","",E461*G461)</f>
        <v/>
      </c>
      <c r="I461" s="11" t="str">
        <f>HYPERLINK("https://optomposuda.ru/product/taz-atlant-7-5-l-cveta-v-assort","открыть")</f>
        <v>открыть</v>
      </c>
    </row>
    <row r="462" spans="1:9" x14ac:dyDescent="0.25">
      <c r="A462" t="s">
        <v>1639</v>
      </c>
      <c r="B462" t="s">
        <v>1640</v>
      </c>
      <c r="C462" t="s">
        <v>763</v>
      </c>
      <c r="D462" s="8">
        <v>1</v>
      </c>
      <c r="E462" s="9">
        <v>962.98</v>
      </c>
      <c r="F462" s="8">
        <v>49</v>
      </c>
      <c r="G462" s="10"/>
      <c r="H462" s="9" t="str">
        <f>IF(G462="","",E462*G462)</f>
        <v/>
      </c>
      <c r="I462" s="11" t="str">
        <f>HYPERLINK("https://optomposuda.ru/product/taz-atlant-80-l-850h210-cveta-v-assort","открыть")</f>
        <v>открыть</v>
      </c>
    </row>
    <row r="463" spans="1:9" x14ac:dyDescent="0.25">
      <c r="A463" t="s">
        <v>1641</v>
      </c>
      <c r="B463" t="s">
        <v>1642</v>
      </c>
      <c r="C463" t="s">
        <v>763</v>
      </c>
      <c r="D463" s="8">
        <v>30</v>
      </c>
      <c r="E463" s="9">
        <v>162.23</v>
      </c>
      <c r="F463" s="8">
        <v>145</v>
      </c>
      <c r="G463" s="10"/>
      <c r="H463" s="9" t="str">
        <f>IF(G463="","",E463*G463)</f>
        <v/>
      </c>
      <c r="I463" s="11" t="str">
        <f>HYPERLINK("https://optomposuda.ru/product/taz-izobilie-11-l-mernyy-bez-kryshki-395h150-cveta-v-assort","открыть")</f>
        <v>открыть</v>
      </c>
    </row>
    <row r="464" spans="1:9" x14ac:dyDescent="0.25">
      <c r="A464" t="s">
        <v>1643</v>
      </c>
      <c r="B464" t="s">
        <v>1644</v>
      </c>
      <c r="C464" t="s">
        <v>763</v>
      </c>
      <c r="D464" s="8">
        <v>30</v>
      </c>
      <c r="E464" s="9">
        <v>285.64</v>
      </c>
      <c r="F464" s="8">
        <v>179</v>
      </c>
      <c r="G464" s="10"/>
      <c r="H464" s="9" t="str">
        <f>IF(G464="","",E464*G464)</f>
        <v/>
      </c>
      <c r="I464" s="11" t="str">
        <f>HYPERLINK("https://optomposuda.ru/product/taz-izobilie-11-l-s-kryshkoy-mernyy-cveta-v-assort","открыть")</f>
        <v>открыть</v>
      </c>
    </row>
    <row r="465" spans="1:9" x14ac:dyDescent="0.25">
      <c r="A465" t="s">
        <v>1645</v>
      </c>
      <c r="B465" t="s">
        <v>1646</v>
      </c>
      <c r="C465" t="s">
        <v>763</v>
      </c>
      <c r="D465" s="8">
        <v>30</v>
      </c>
      <c r="E465" s="9">
        <v>191.98</v>
      </c>
      <c r="F465" s="8">
        <v>172</v>
      </c>
      <c r="G465" s="10"/>
      <c r="H465" s="9" t="str">
        <f>IF(G465="","",E465*G465)</f>
        <v/>
      </c>
      <c r="I465" s="11" t="str">
        <f>HYPERLINK("https://optomposuda.ru/product/taz-izobilie-15-l-mernyy-bez-kryshki-cveta-v-assort","открыть")</f>
        <v>открыть</v>
      </c>
    </row>
    <row r="466" spans="1:9" x14ac:dyDescent="0.25">
      <c r="A466" t="s">
        <v>1647</v>
      </c>
      <c r="B466" t="s">
        <v>1648</v>
      </c>
      <c r="C466" t="s">
        <v>763</v>
      </c>
      <c r="D466" s="8">
        <v>30</v>
      </c>
      <c r="E466" s="9">
        <v>319.97</v>
      </c>
      <c r="F466" s="8">
        <v>148</v>
      </c>
      <c r="G466" s="10"/>
      <c r="H466" s="9" t="str">
        <f>IF(G466="","",E466*G466)</f>
        <v/>
      </c>
      <c r="I466" s="11" t="str">
        <f>HYPERLINK("https://optomposuda.ru/product/taz-izobilie-15-l-s-kryshkoy-mernyy-cveta-v-assort","открыть")</f>
        <v>открыть</v>
      </c>
    </row>
    <row r="467" spans="1:9" x14ac:dyDescent="0.25">
      <c r="A467" t="s">
        <v>1649</v>
      </c>
      <c r="B467" t="s">
        <v>1650</v>
      </c>
      <c r="C467" t="s">
        <v>763</v>
      </c>
      <c r="D467" s="8">
        <v>30</v>
      </c>
      <c r="E467" s="9">
        <v>283.02</v>
      </c>
      <c r="F467" s="8">
        <v>71</v>
      </c>
      <c r="G467" s="10"/>
      <c r="H467" s="9" t="str">
        <f>IF(G467="","",E467*G467)</f>
        <v/>
      </c>
      <c r="I467" s="11" t="str">
        <f>HYPERLINK("https://optomposuda.ru/product/taz-izobilie-22-l-mernyy-bez-kryshki-cveta-v-assort","открыть")</f>
        <v>открыть</v>
      </c>
    </row>
    <row r="468" spans="1:9" x14ac:dyDescent="0.25">
      <c r="A468" t="s">
        <v>1651</v>
      </c>
      <c r="B468" t="s">
        <v>1652</v>
      </c>
      <c r="C468" t="s">
        <v>763</v>
      </c>
      <c r="D468" s="8">
        <v>30</v>
      </c>
      <c r="E468" s="9">
        <v>452.13</v>
      </c>
      <c r="F468" s="8">
        <v>216</v>
      </c>
      <c r="G468" s="10"/>
      <c r="H468" s="9" t="str">
        <f>IF(G468="","",E468*G468)</f>
        <v/>
      </c>
      <c r="I468" s="11" t="str">
        <f>HYPERLINK("https://optomposuda.ru/product/taz-izobilie-22-l-s-kryshkoy-mernyy-cveta-v-assort","открыть")</f>
        <v>открыть</v>
      </c>
    </row>
    <row r="469" spans="1:9" x14ac:dyDescent="0.25">
      <c r="A469" t="s">
        <v>1653</v>
      </c>
      <c r="B469" t="s">
        <v>1654</v>
      </c>
      <c r="C469" t="s">
        <v>763</v>
      </c>
      <c r="D469" s="8">
        <v>50</v>
      </c>
      <c r="E469" s="9">
        <v>75.71</v>
      </c>
      <c r="F469" s="8">
        <v>174</v>
      </c>
      <c r="G469" s="10"/>
      <c r="H469" s="9" t="str">
        <f>IF(G469="","",E469*G469)</f>
        <v/>
      </c>
      <c r="I469" s="11" t="str">
        <f>HYPERLINK("https://optomposuda.ru/product/taz-izobilie-4-l-mernyy-bez-kryshki-cveta-v-assort","открыть")</f>
        <v>открыть</v>
      </c>
    </row>
    <row r="470" spans="1:9" x14ac:dyDescent="0.25">
      <c r="A470" t="s">
        <v>1655</v>
      </c>
      <c r="B470" t="s">
        <v>1656</v>
      </c>
      <c r="C470" t="s">
        <v>763</v>
      </c>
      <c r="D470" s="8">
        <v>50</v>
      </c>
      <c r="E470" s="9">
        <v>143.95</v>
      </c>
      <c r="F470" s="8">
        <v>455</v>
      </c>
      <c r="G470" s="10"/>
      <c r="H470" s="9" t="str">
        <f>IF(G470="","",E470*G470)</f>
        <v/>
      </c>
      <c r="I470" s="11" t="str">
        <f>HYPERLINK("https://optomposuda.ru/product/taz-izobilie-4-l-s-kryshkoy-mernyy-cveta-v-assort","открыть")</f>
        <v>открыть</v>
      </c>
    </row>
    <row r="471" spans="1:9" x14ac:dyDescent="0.25">
      <c r="A471" t="s">
        <v>1657</v>
      </c>
      <c r="B471" t="s">
        <v>1658</v>
      </c>
      <c r="C471" t="s">
        <v>763</v>
      </c>
      <c r="D471" s="8">
        <v>50</v>
      </c>
      <c r="E471" s="9">
        <v>91.82</v>
      </c>
      <c r="F471" s="8">
        <v>83</v>
      </c>
      <c r="G471" s="10"/>
      <c r="H471" s="9" t="str">
        <f>IF(G471="","",E471*G471)</f>
        <v/>
      </c>
      <c r="I471" s="11" t="str">
        <f>HYPERLINK("https://optomposuda.ru/product/taz-izobilie-6-l-mernyy-bez-kryshki-cveta-v-assort","открыть")</f>
        <v>открыть</v>
      </c>
    </row>
    <row r="472" spans="1:9" x14ac:dyDescent="0.25">
      <c r="A472" t="s">
        <v>1659</v>
      </c>
      <c r="B472" t="s">
        <v>1660</v>
      </c>
      <c r="C472" t="s">
        <v>763</v>
      </c>
      <c r="D472" s="8">
        <v>50</v>
      </c>
      <c r="E472" s="9">
        <v>170.94</v>
      </c>
      <c r="F472" s="8">
        <v>447</v>
      </c>
      <c r="G472" s="10"/>
      <c r="H472" s="9" t="str">
        <f>IF(G472="","",E472*G472)</f>
        <v/>
      </c>
      <c r="I472" s="11" t="str">
        <f>HYPERLINK("https://optomposuda.ru/product/taz-izobilie-6-l-s-kryshkoy-mernyy-cveta-v-assort","открыть")</f>
        <v>открыть</v>
      </c>
    </row>
    <row r="473" spans="1:9" x14ac:dyDescent="0.25">
      <c r="A473" t="s">
        <v>1661</v>
      </c>
      <c r="B473" t="s">
        <v>1662</v>
      </c>
      <c r="C473" t="s">
        <v>763</v>
      </c>
      <c r="D473" s="8">
        <v>50</v>
      </c>
      <c r="E473" s="9">
        <v>109.2</v>
      </c>
      <c r="F473" s="8">
        <v>129</v>
      </c>
      <c r="G473" s="10"/>
      <c r="H473" s="9" t="str">
        <f>IF(G473="","",E473*G473)</f>
        <v/>
      </c>
      <c r="I473" s="11" t="str">
        <f>HYPERLINK("https://optomposuda.ru/product/taz-izobilie-8-l-mernyy-bez-kryshki-cveta-v-assort","открыть")</f>
        <v>открыть</v>
      </c>
    </row>
    <row r="474" spans="1:9" x14ac:dyDescent="0.25">
      <c r="A474" t="s">
        <v>1663</v>
      </c>
      <c r="B474" t="s">
        <v>1664</v>
      </c>
      <c r="C474" t="s">
        <v>763</v>
      </c>
      <c r="D474" s="8">
        <v>50</v>
      </c>
      <c r="E474" s="9">
        <v>214.79</v>
      </c>
      <c r="F474" s="8">
        <v>363</v>
      </c>
      <c r="G474" s="10"/>
      <c r="H474" s="9" t="str">
        <f>IF(G474="","",E474*G474)</f>
        <v/>
      </c>
      <c r="I474" s="11" t="str">
        <f>HYPERLINK("https://optomposuda.ru/product/taz-izobilie-8-l-s-kryshkoy-mernyy-cveta-v-assort","открыть")</f>
        <v>открыть</v>
      </c>
    </row>
    <row r="475" spans="1:9" x14ac:dyDescent="0.25">
      <c r="A475" t="s">
        <v>1665</v>
      </c>
      <c r="B475" t="s">
        <v>1666</v>
      </c>
      <c r="C475" t="s">
        <v>763</v>
      </c>
      <c r="D475" s="8">
        <v>10</v>
      </c>
      <c r="E475" s="9">
        <v>226.89</v>
      </c>
      <c r="F475" s="8">
        <v>153</v>
      </c>
      <c r="G475" s="10"/>
      <c r="H475" s="9" t="str">
        <f>IF(G475="","",E475*G475)</f>
        <v/>
      </c>
      <c r="I475" s="11" t="str">
        <f>HYPERLINK("https://optomposuda.ru/product/taz-laguna-16-l-pryamougolnyy-cveta-v-assort","открыть")</f>
        <v>открыть</v>
      </c>
    </row>
    <row r="476" spans="1:9" x14ac:dyDescent="0.25">
      <c r="A476" t="s">
        <v>1667</v>
      </c>
      <c r="B476" t="s">
        <v>1668</v>
      </c>
      <c r="C476" t="s">
        <v>763</v>
      </c>
      <c r="D476" s="8">
        <v>10</v>
      </c>
      <c r="E476" s="9">
        <v>439.8</v>
      </c>
      <c r="F476" s="8">
        <v>192</v>
      </c>
      <c r="G476" s="10"/>
      <c r="H476" s="9" t="str">
        <f>IF(G476="","",E476*G476)</f>
        <v/>
      </c>
      <c r="I476" s="11" t="str">
        <f>HYPERLINK("https://optomposuda.ru/product/taz-laguna-32-l-pryamougolnyy-cveta-v-assort","открыть")</f>
        <v>открыть</v>
      </c>
    </row>
    <row r="477" spans="1:9" x14ac:dyDescent="0.25">
      <c r="A477" t="s">
        <v>1669</v>
      </c>
      <c r="B477" t="s">
        <v>1670</v>
      </c>
      <c r="C477" t="s">
        <v>763</v>
      </c>
      <c r="D477" s="8">
        <v>25</v>
      </c>
      <c r="E477" s="9">
        <v>179.17</v>
      </c>
      <c r="F477" s="8">
        <v>109</v>
      </c>
      <c r="G477" s="10"/>
      <c r="H477" s="9" t="str">
        <f>IF(G477="","",E477*G477)</f>
        <v/>
      </c>
      <c r="I477" s="11" t="str">
        <f>HYPERLINK("https://optomposuda.ru/product/taz-argo-10-l-s-dekorom-bez-kryshki-363h170h340-s-ruchkami-cveta-v-assort","открыть")</f>
        <v>открыть</v>
      </c>
    </row>
    <row r="478" spans="1:9" x14ac:dyDescent="0.25">
      <c r="A478" t="s">
        <v>1671</v>
      </c>
      <c r="B478" t="s">
        <v>1672</v>
      </c>
      <c r="C478" t="s">
        <v>763</v>
      </c>
      <c r="D478" s="8">
        <v>25</v>
      </c>
      <c r="E478" s="9">
        <v>251.91</v>
      </c>
      <c r="F478" s="8">
        <v>100</v>
      </c>
      <c r="G478" s="10"/>
      <c r="H478" s="9" t="str">
        <f>IF(G478="","",E478*G478)</f>
        <v/>
      </c>
      <c r="I478" s="11" t="str">
        <f>HYPERLINK("https://optomposuda.ru/product/taz-argo-10-l-s-dekorom-s-kryshkoy-363h170h340-s-ruchkami-cveta-v-assort","открыть")</f>
        <v>открыть</v>
      </c>
    </row>
    <row r="479" spans="1:9" x14ac:dyDescent="0.25">
      <c r="A479" t="s">
        <v>1673</v>
      </c>
      <c r="B479" t="s">
        <v>1674</v>
      </c>
      <c r="C479" t="s">
        <v>763</v>
      </c>
      <c r="D479" s="8">
        <v>20</v>
      </c>
      <c r="E479" s="9">
        <v>236.51</v>
      </c>
      <c r="F479" s="8">
        <v>81</v>
      </c>
      <c r="G479" s="10"/>
      <c r="H479" s="9" t="str">
        <f>IF(G479="","",E479*G479)</f>
        <v/>
      </c>
      <c r="I479" s="11" t="str">
        <f>HYPERLINK("https://optomposuda.ru/product/taz-argo-14-l-s-dekorom-bez-kryshki-cveta-v-assort","открыть")</f>
        <v>открыть</v>
      </c>
    </row>
    <row r="480" spans="1:9" x14ac:dyDescent="0.25">
      <c r="A480" t="s">
        <v>1675</v>
      </c>
      <c r="B480" t="s">
        <v>1676</v>
      </c>
      <c r="C480" t="s">
        <v>763</v>
      </c>
      <c r="D480" s="8">
        <v>20</v>
      </c>
      <c r="E480" s="9">
        <v>337.52</v>
      </c>
      <c r="F480" s="8">
        <v>124</v>
      </c>
      <c r="G480" s="10"/>
      <c r="H480" s="9" t="str">
        <f>IF(G480="","",E480*G480)</f>
        <v/>
      </c>
      <c r="I480" s="11" t="str">
        <f>HYPERLINK("https://optomposuda.ru/product/taz-argo-14-l-s-dekorom-s-kryshkoy-cveta-v-assort","открыть")</f>
        <v>открыть</v>
      </c>
    </row>
    <row r="481" spans="1:9" x14ac:dyDescent="0.25">
      <c r="A481" t="s">
        <v>1677</v>
      </c>
      <c r="B481" t="s">
        <v>1678</v>
      </c>
      <c r="C481" t="s">
        <v>763</v>
      </c>
      <c r="D481" s="8">
        <v>30</v>
      </c>
      <c r="E481" s="9">
        <v>183.95</v>
      </c>
      <c r="F481" s="8">
        <v>26</v>
      </c>
      <c r="G481" s="10"/>
      <c r="H481" s="9" t="str">
        <f>IF(G481="","",E481*G481)</f>
        <v/>
      </c>
      <c r="I481" s="11" t="str">
        <f>HYPERLINK("https://optomposuda.ru/product/taz-argo-7-l-s-dekorom-s-kryshkoy-cveta-v-assort","открыть")</f>
        <v>открыть</v>
      </c>
    </row>
    <row r="482" spans="1:9" x14ac:dyDescent="0.25">
      <c r="A482" t="s">
        <v>1679</v>
      </c>
      <c r="B482" t="s">
        <v>1680</v>
      </c>
      <c r="C482" t="s">
        <v>763</v>
      </c>
      <c r="D482" s="8">
        <v>12</v>
      </c>
      <c r="E482" s="9">
        <v>526.92</v>
      </c>
      <c r="F482" s="8">
        <v>24</v>
      </c>
      <c r="G482" s="10"/>
      <c r="H482" s="9" t="str">
        <f>IF(G482="","",E482*G482)</f>
        <v/>
      </c>
      <c r="I482" s="11" t="str">
        <f>HYPERLINK("https://optomposuda.ru/product/taz-flexy-25-l-skladnoy-cveta-v-assort","открыть")</f>
        <v>открыть</v>
      </c>
    </row>
    <row r="483" spans="1:9" x14ac:dyDescent="0.25">
      <c r="A483" t="s">
        <v>1681</v>
      </c>
      <c r="B483" t="s">
        <v>1682</v>
      </c>
      <c r="C483" t="s">
        <v>763</v>
      </c>
      <c r="D483" s="8">
        <v>1</v>
      </c>
      <c r="E483" s="9">
        <v>125.41</v>
      </c>
      <c r="F483" s="8">
        <v>561</v>
      </c>
      <c r="G483" s="10"/>
      <c r="H483" s="9" t="str">
        <f>IF(G483="","",E483*G483)</f>
        <v/>
      </c>
      <c r="I483" s="11" t="str">
        <f>HYPERLINK("https://optomposuda.ru/product/taz-11-l-kruglyy-390x100-cveta-v-assort","открыть")</f>
        <v>открыть</v>
      </c>
    </row>
    <row r="484" spans="1:9" x14ac:dyDescent="0.25">
      <c r="A484" t="s">
        <v>1683</v>
      </c>
      <c r="B484" t="s">
        <v>1684</v>
      </c>
      <c r="C484" t="s">
        <v>763</v>
      </c>
      <c r="D484" s="8">
        <v>1</v>
      </c>
      <c r="E484" s="9">
        <v>188.68</v>
      </c>
      <c r="F484" s="8">
        <v>228</v>
      </c>
      <c r="G484" s="10"/>
      <c r="H484" s="9" t="str">
        <f>IF(G484="","",E484*G484)</f>
        <v/>
      </c>
      <c r="I484" s="11" t="str">
        <f>HYPERLINK("https://optomposuda.ru/product/taz-14-l-kruglyy-cveta-v-assort","открыть")</f>
        <v>открыть</v>
      </c>
    </row>
    <row r="485" spans="1:9" x14ac:dyDescent="0.25">
      <c r="A485" t="s">
        <v>1685</v>
      </c>
      <c r="B485" t="s">
        <v>1686</v>
      </c>
      <c r="C485" t="s">
        <v>763</v>
      </c>
      <c r="D485" s="8">
        <v>1</v>
      </c>
      <c r="E485" s="9">
        <v>219.75</v>
      </c>
      <c r="F485" s="8">
        <v>111</v>
      </c>
      <c r="G485" s="10"/>
      <c r="H485" s="9" t="str">
        <f>IF(G485="","",E485*G485)</f>
        <v/>
      </c>
      <c r="I485" s="11" t="str">
        <f>HYPERLINK("https://optomposuda.ru/product/taz-20-l-kruglyy-cveta-v-assort","открыть")</f>
        <v>открыть</v>
      </c>
    </row>
    <row r="486" spans="1:9" x14ac:dyDescent="0.25">
      <c r="A486" t="s">
        <v>1687</v>
      </c>
      <c r="B486" t="s">
        <v>1688</v>
      </c>
      <c r="C486" t="s">
        <v>763</v>
      </c>
      <c r="D486" s="8">
        <v>1</v>
      </c>
      <c r="E486" s="9">
        <v>72.49</v>
      </c>
      <c r="F486" s="8">
        <v>564</v>
      </c>
      <c r="G486" s="10"/>
      <c r="H486" s="9" t="str">
        <f>IF(G486="","",E486*G486)</f>
        <v/>
      </c>
      <c r="I486" s="11" t="str">
        <f>HYPERLINK("https://optomposuda.ru/product/taz-5-l-kruglyy-cveta-v-assort","открыть")</f>
        <v>открыть</v>
      </c>
    </row>
    <row r="487" spans="1:9" x14ac:dyDescent="0.25">
      <c r="A487" t="s">
        <v>1689</v>
      </c>
      <c r="B487" t="s">
        <v>1690</v>
      </c>
      <c r="C487" t="s">
        <v>763</v>
      </c>
      <c r="D487" s="8">
        <v>1</v>
      </c>
      <c r="E487" s="9">
        <v>97.8</v>
      </c>
      <c r="F487" s="8">
        <v>807</v>
      </c>
      <c r="G487" s="10"/>
      <c r="H487" s="9" t="str">
        <f>IF(G487="","",E487*G487)</f>
        <v/>
      </c>
      <c r="I487" s="11" t="str">
        <f>HYPERLINK("https://optomposuda.ru/product/taz-8-l-kruglyy-cveta-v-assort","открыть")</f>
        <v>открыть</v>
      </c>
    </row>
    <row r="488" spans="1:9" x14ac:dyDescent="0.25">
      <c r="A488" t="s">
        <v>1691</v>
      </c>
      <c r="B488" t="s">
        <v>1692</v>
      </c>
      <c r="C488" t="s">
        <v>763</v>
      </c>
      <c r="D488" s="8">
        <v>8</v>
      </c>
      <c r="E488" s="9">
        <v>282.26</v>
      </c>
      <c r="F488" s="8">
        <v>182</v>
      </c>
      <c r="G488" s="10"/>
      <c r="H488" s="9" t="str">
        <f>IF(G488="","",E488*G488)</f>
        <v/>
      </c>
      <c r="I488" s="11" t="str">
        <f>HYPERLINK("https://optomposuda.ru/product/flyaga-aqualine-10-l","открыть")</f>
        <v>открыть</v>
      </c>
    </row>
    <row r="489" spans="1:9" x14ac:dyDescent="0.25">
      <c r="A489" t="s">
        <v>1693</v>
      </c>
      <c r="B489" t="s">
        <v>1694</v>
      </c>
      <c r="C489" t="s">
        <v>763</v>
      </c>
      <c r="D489" s="8">
        <v>4</v>
      </c>
      <c r="E489" s="9">
        <v>564.5</v>
      </c>
      <c r="F489" s="8">
        <v>155</v>
      </c>
      <c r="G489" s="10"/>
      <c r="H489" s="9" t="str">
        <f>IF(G489="","",E489*G489)</f>
        <v/>
      </c>
      <c r="I489" s="11" t="str">
        <f>HYPERLINK("https://optomposuda.ru/product/flyaga-aqualine-20-l","открыть")</f>
        <v>открыть</v>
      </c>
    </row>
    <row r="490" spans="1:9" x14ac:dyDescent="0.25">
      <c r="A490" t="s">
        <v>1695</v>
      </c>
      <c r="B490" t="s">
        <v>1696</v>
      </c>
      <c r="C490" t="s">
        <v>763</v>
      </c>
      <c r="D490" s="8">
        <v>4</v>
      </c>
      <c r="E490" s="9">
        <v>590.37</v>
      </c>
      <c r="F490" s="8">
        <v>12</v>
      </c>
      <c r="G490" s="10"/>
      <c r="H490" s="9" t="str">
        <f>IF(G490="","",E490*G490)</f>
        <v/>
      </c>
      <c r="I490" s="11" t="str">
        <f>HYPERLINK("https://optomposuda.ru/product/flyaga-aqualine-20-l-s-kranom","открыть")</f>
        <v>открыть</v>
      </c>
    </row>
    <row r="491" spans="1:9" x14ac:dyDescent="0.25">
      <c r="A491" t="s">
        <v>1697</v>
      </c>
      <c r="B491" t="s">
        <v>1698</v>
      </c>
      <c r="C491" t="s">
        <v>763</v>
      </c>
      <c r="D491" s="8">
        <v>4</v>
      </c>
      <c r="E491" s="9">
        <v>645.46</v>
      </c>
      <c r="F491" s="8">
        <v>35</v>
      </c>
      <c r="G491" s="10"/>
      <c r="H491" s="9" t="str">
        <f>IF(G491="","",E491*G491)</f>
        <v/>
      </c>
      <c r="I491" s="11" t="str">
        <f>HYPERLINK("https://optomposuda.ru/product/flyaga-aqualine-35-l","открыть")</f>
        <v>открыть</v>
      </c>
    </row>
    <row r="492" spans="1:9" x14ac:dyDescent="0.25">
      <c r="A492" t="s">
        <v>1699</v>
      </c>
      <c r="B492" t="s">
        <v>1700</v>
      </c>
      <c r="C492" t="s">
        <v>763</v>
      </c>
      <c r="D492" s="8">
        <v>4</v>
      </c>
      <c r="E492" s="9">
        <v>604.01</v>
      </c>
      <c r="F492" s="8">
        <v>12</v>
      </c>
      <c r="G492" s="10"/>
      <c r="H492" s="9" t="str">
        <f>IF(G492="","",E492*G492)</f>
        <v/>
      </c>
      <c r="I492" s="11" t="str">
        <f>HYPERLINK("https://optomposuda.ru/product/flyaga-aqualine-35-l-s-kranom","открыть")</f>
        <v>открыть</v>
      </c>
    </row>
    <row r="493" spans="1:9" x14ac:dyDescent="0.25">
      <c r="A493" t="s">
        <v>1701</v>
      </c>
      <c r="B493" t="s">
        <v>1702</v>
      </c>
      <c r="C493" t="s">
        <v>763</v>
      </c>
      <c r="D493" s="8">
        <v>2</v>
      </c>
      <c r="E493" s="9">
        <v>1218.39</v>
      </c>
      <c r="F493" s="8">
        <v>4</v>
      </c>
      <c r="G493" s="10"/>
      <c r="H493" s="9" t="str">
        <f>IF(G493="","",E493*G493)</f>
        <v/>
      </c>
      <c r="I493" s="11" t="str">
        <f>HYPERLINK("https://optomposuda.ru/product/flyaga-fortis-40-l","открыть")</f>
        <v>открыть</v>
      </c>
    </row>
    <row r="494" spans="1:9" x14ac:dyDescent="0.25">
      <c r="A494" t="s">
        <v>1703</v>
      </c>
      <c r="B494" t="s">
        <v>1704</v>
      </c>
      <c r="C494" t="s">
        <v>763</v>
      </c>
      <c r="D494" s="8">
        <v>2</v>
      </c>
      <c r="E494" s="9">
        <v>1411.67</v>
      </c>
      <c r="F494" s="8">
        <v>6</v>
      </c>
      <c r="G494" s="10"/>
      <c r="H494" s="9" t="str">
        <f>IF(G494="","",E494*G494)</f>
        <v/>
      </c>
      <c r="I494" s="11" t="str">
        <f>HYPERLINK("https://optomposuda.ru/product/flyaga-fortis-50-l","открыть")</f>
        <v>открыть</v>
      </c>
    </row>
    <row r="495" spans="1:9" x14ac:dyDescent="0.25">
      <c r="A495" t="s">
        <v>1705</v>
      </c>
      <c r="B495" t="s">
        <v>1706</v>
      </c>
      <c r="C495" t="s">
        <v>763</v>
      </c>
      <c r="D495" s="8">
        <v>2</v>
      </c>
      <c r="E495" s="9">
        <v>1667.08</v>
      </c>
      <c r="F495" s="8">
        <v>9</v>
      </c>
      <c r="G495" s="10"/>
      <c r="H495" s="9" t="str">
        <f>IF(G495="","",E495*G495)</f>
        <v/>
      </c>
      <c r="I495" s="11" t="str">
        <f>HYPERLINK("https://optomposuda.ru/product/flyaga-fortis-66-l","открыть")</f>
        <v>открыть</v>
      </c>
    </row>
    <row r="496" spans="1:9" x14ac:dyDescent="0.25">
      <c r="A496" t="s">
        <v>1707</v>
      </c>
      <c r="B496" t="s">
        <v>1708</v>
      </c>
      <c r="C496" t="s">
        <v>763</v>
      </c>
      <c r="D496" s="8">
        <v>2</v>
      </c>
      <c r="E496" s="9">
        <v>1784.72</v>
      </c>
      <c r="F496" s="8">
        <v>7</v>
      </c>
      <c r="G496" s="10"/>
      <c r="H496" s="9" t="str">
        <f>IF(G496="","",E496*G496)</f>
        <v/>
      </c>
      <c r="I496" s="11" t="str">
        <f>HYPERLINK("https://optomposuda.ru/product/flyaga-fortis-80-l","открыть")</f>
        <v>открыть</v>
      </c>
    </row>
    <row r="497" spans="1:9" x14ac:dyDescent="0.25">
      <c r="A497" t="s">
        <v>1709</v>
      </c>
      <c r="B497" t="s">
        <v>1710</v>
      </c>
      <c r="C497" t="s">
        <v>763</v>
      </c>
      <c r="D497" s="8">
        <v>30</v>
      </c>
      <c r="E497" s="9">
        <v>138.98</v>
      </c>
      <c r="F497" s="8">
        <v>233</v>
      </c>
      <c r="G497" s="10"/>
      <c r="H497" s="9" t="str">
        <f>IF(G497="","",E497*G497)</f>
        <v/>
      </c>
      <c r="I497" s="11" t="str">
        <f>HYPERLINK("https://optomposuda.ru/product/shkatulka-viola-3-l","открыть")</f>
        <v>открыть</v>
      </c>
    </row>
    <row r="498" spans="1:9" x14ac:dyDescent="0.25">
      <c r="A498" t="s">
        <v>1711</v>
      </c>
      <c r="B498" t="s">
        <v>1712</v>
      </c>
      <c r="C498" t="s">
        <v>763</v>
      </c>
      <c r="D498" s="8">
        <v>15</v>
      </c>
      <c r="E498" s="9">
        <v>200.19</v>
      </c>
      <c r="F498" s="8">
        <v>189</v>
      </c>
      <c r="G498" s="10"/>
      <c r="H498" s="9" t="str">
        <f>IF(G498="","",E498*G498)</f>
        <v/>
      </c>
      <c r="I498" s="11" t="str">
        <f>HYPERLINK("https://optomposuda.ru/product/shkatulka-viola-6-l","открыть")</f>
        <v>открыть</v>
      </c>
    </row>
    <row r="499" spans="1:9" x14ac:dyDescent="0.25">
      <c r="A499" t="s">
        <v>1713</v>
      </c>
      <c r="B499" t="s">
        <v>1714</v>
      </c>
      <c r="C499" t="s">
        <v>763</v>
      </c>
      <c r="D499" s="8">
        <v>30</v>
      </c>
      <c r="E499" s="9">
        <v>149.57</v>
      </c>
      <c r="F499" s="8">
        <v>110</v>
      </c>
      <c r="G499" s="10"/>
      <c r="H499" s="9" t="str">
        <f>IF(G499="","",E499*G499)</f>
        <v/>
      </c>
      <c r="I499" s="11" t="str">
        <f>HYPERLINK("https://optomposuda.ru/product/schetka-skrabber-derevyannaya-23-sm","открыть")</f>
        <v>открыть</v>
      </c>
    </row>
    <row r="500" spans="1:9" x14ac:dyDescent="0.25">
      <c r="A500" t="s">
        <v>1715</v>
      </c>
      <c r="B500" t="s">
        <v>1716</v>
      </c>
      <c r="C500" t="s">
        <v>763</v>
      </c>
      <c r="D500" s="8">
        <v>33</v>
      </c>
      <c r="E500" s="9">
        <v>95.59</v>
      </c>
      <c r="F500" s="8">
        <v>297</v>
      </c>
      <c r="G500" s="10"/>
      <c r="H500" s="9" t="str">
        <f>IF(G500="","",E500*G500)</f>
        <v/>
      </c>
      <c r="I500" s="11" t="str">
        <f>HYPERLINK("https://optomposuda.ru/product/schetka-smetka-derevyannaya","открыть")</f>
        <v>открыть</v>
      </c>
    </row>
    <row r="501" spans="1:9" x14ac:dyDescent="0.25">
      <c r="A501" t="s">
        <v>1717</v>
      </c>
      <c r="B501" t="s">
        <v>1718</v>
      </c>
      <c r="C501" t="s">
        <v>763</v>
      </c>
      <c r="D501" s="8">
        <v>66</v>
      </c>
      <c r="E501" s="9">
        <v>51.19</v>
      </c>
      <c r="F501" s="8">
        <v>350</v>
      </c>
      <c r="G501" s="10"/>
      <c r="H501" s="9" t="str">
        <f>IF(G501="","",E501*G501)</f>
        <v/>
      </c>
      <c r="I501" s="11" t="str">
        <f>HYPERLINK("https://optomposuda.ru/product/schetka-ezhik-180h480","открыть")</f>
        <v>открыть</v>
      </c>
    </row>
    <row r="502" spans="1:9" x14ac:dyDescent="0.25">
      <c r="A502" t="s">
        <v>1719</v>
      </c>
      <c r="B502" t="s">
        <v>1720</v>
      </c>
      <c r="C502" t="s">
        <v>763</v>
      </c>
      <c r="D502" s="8">
        <v>40</v>
      </c>
      <c r="E502" s="9">
        <v>175.42</v>
      </c>
      <c r="F502" s="8">
        <v>75</v>
      </c>
      <c r="G502" s="10"/>
      <c r="H502" s="9" t="str">
        <f>IF(G502="","",E502*G502)</f>
        <v/>
      </c>
      <c r="I502" s="11" t="str">
        <f>HYPERLINK("https://optomposuda.ru/product/schetka-standart-avtomobilnaya","открыть")</f>
        <v>открыть</v>
      </c>
    </row>
    <row r="503" spans="1:9" x14ac:dyDescent="0.25">
      <c r="A503" t="s">
        <v>1721</v>
      </c>
      <c r="B503" t="s">
        <v>1722</v>
      </c>
      <c r="C503" t="s">
        <v>763</v>
      </c>
      <c r="D503" s="8">
        <v>40</v>
      </c>
      <c r="E503" s="9">
        <v>128.19</v>
      </c>
      <c r="F503" s="8">
        <v>106</v>
      </c>
      <c r="G503" s="10"/>
      <c r="H503" s="9" t="str">
        <f>IF(G503="","",E503*G503)</f>
        <v/>
      </c>
      <c r="I503" s="11" t="str">
        <f>HYPERLINK("https://optomposuda.ru/product/schetka-standart-dlya-kovra","открыть")</f>
        <v>открыть</v>
      </c>
    </row>
    <row r="504" spans="1:9" x14ac:dyDescent="0.25">
      <c r="A504" t="s">
        <v>1723</v>
      </c>
      <c r="B504" t="s">
        <v>1724</v>
      </c>
      <c r="C504" t="s">
        <v>763</v>
      </c>
      <c r="D504" s="8">
        <v>20</v>
      </c>
      <c r="E504" s="9">
        <v>175.42</v>
      </c>
      <c r="F504" s="8">
        <v>294</v>
      </c>
      <c r="G504" s="10"/>
      <c r="H504" s="9" t="str">
        <f>IF(G504="","",E504*G504)</f>
        <v/>
      </c>
      <c r="I504" s="11" t="str">
        <f>HYPERLINK("https://optomposuda.ru/product/schetka-standart-dlya-pola","открыть")</f>
        <v>открыть</v>
      </c>
    </row>
    <row r="505" spans="1:9" x14ac:dyDescent="0.25">
      <c r="A505" t="s">
        <v>1725</v>
      </c>
      <c r="B505" t="s">
        <v>1726</v>
      </c>
      <c r="C505" t="s">
        <v>763</v>
      </c>
      <c r="D505" s="8">
        <v>96</v>
      </c>
      <c r="E505" s="9">
        <v>88.84</v>
      </c>
      <c r="F505" s="8">
        <v>186</v>
      </c>
      <c r="G505" s="10"/>
      <c r="H505" s="9" t="str">
        <f>IF(G505="","",E505*G505)</f>
        <v/>
      </c>
      <c r="I505" s="11" t="str">
        <f>HYPERLINK("https://optomposuda.ru/product/schetka-utyuzhok-140h60h75","открыть")</f>
        <v>открыть</v>
      </c>
    </row>
    <row r="506" spans="1:9" x14ac:dyDescent="0.25">
      <c r="A506" t="s">
        <v>1727</v>
      </c>
      <c r="B506" t="s">
        <v>1728</v>
      </c>
      <c r="C506" t="s">
        <v>763</v>
      </c>
      <c r="D506" s="8">
        <v>36</v>
      </c>
      <c r="E506" s="9">
        <v>84.93</v>
      </c>
      <c r="F506" s="8">
        <v>30</v>
      </c>
      <c r="G506" s="10"/>
      <c r="H506" s="9" t="str">
        <f>IF(G506="","",E506*G506)</f>
        <v/>
      </c>
      <c r="I506" s="11" t="str">
        <f>HYPERLINK("https://optomposuda.ru/product/schetka-forma-derevyannaya","открыть")</f>
        <v>открыть</v>
      </c>
    </row>
    <row r="507" spans="1:9" x14ac:dyDescent="0.25">
      <c r="A507" t="s">
        <v>1729</v>
      </c>
      <c r="B507" t="s">
        <v>1730</v>
      </c>
      <c r="C507" t="s">
        <v>763</v>
      </c>
      <c r="D507" s="8">
        <v>20</v>
      </c>
      <c r="E507" s="9">
        <v>154.06</v>
      </c>
      <c r="F507" s="8">
        <v>137</v>
      </c>
      <c r="G507" s="10"/>
      <c r="H507" s="9" t="str">
        <f>IF(G507="","",E507*G507)</f>
        <v/>
      </c>
      <c r="I507" s="11" t="str">
        <f>HYPERLINK("https://optomposuda.ru/product/schetka-soft","открыть")</f>
        <v>открыть</v>
      </c>
    </row>
    <row r="508" spans="1:9" x14ac:dyDescent="0.25">
      <c r="A508" t="s">
        <v>1731</v>
      </c>
      <c r="B508" t="s">
        <v>1732</v>
      </c>
      <c r="C508" t="s">
        <v>763</v>
      </c>
      <c r="D508" s="8">
        <v>42</v>
      </c>
      <c r="E508" s="9">
        <v>98.94</v>
      </c>
      <c r="F508" s="8">
        <v>30</v>
      </c>
      <c r="G508" s="10"/>
      <c r="H508" s="9" t="str">
        <f>IF(G508="","",E508*G508)</f>
        <v/>
      </c>
      <c r="I508" s="11" t="str">
        <f>HYPERLINK("https://optomposuda.ru/product/schetka-zigzag-derevyannaya","открыть")</f>
        <v>открыть</v>
      </c>
    </row>
    <row r="509" spans="1:9" x14ac:dyDescent="0.25">
      <c r="A509" t="s">
        <v>1733</v>
      </c>
      <c r="B509" t="s">
        <v>1734</v>
      </c>
      <c r="C509" t="s">
        <v>763</v>
      </c>
      <c r="D509" s="8">
        <v>16</v>
      </c>
      <c r="E509" s="9">
        <v>194.44</v>
      </c>
      <c r="F509" s="8">
        <v>100</v>
      </c>
      <c r="G509" s="10"/>
      <c r="H509" s="9" t="str">
        <f>IF(G509="","",E509*G509)</f>
        <v/>
      </c>
      <c r="I509" s="11" t="str">
        <f>HYPERLINK("https://optomposuda.ru/product/schetka-dlya-ulicy-derevyannaya-30-sm","открыть")</f>
        <v>открыть</v>
      </c>
    </row>
    <row r="510" spans="1:9" x14ac:dyDescent="0.25">
      <c r="A510" t="s">
        <v>1735</v>
      </c>
      <c r="B510" t="s">
        <v>1736</v>
      </c>
      <c r="C510" t="s">
        <v>763</v>
      </c>
      <c r="D510" s="8">
        <v>12</v>
      </c>
      <c r="E510" s="9">
        <v>257.71</v>
      </c>
      <c r="F510" s="8">
        <v>75</v>
      </c>
      <c r="G510" s="10"/>
      <c r="H510" s="9" t="str">
        <f>IF(G510="","",E510*G510)</f>
        <v/>
      </c>
      <c r="I510" s="11" t="str">
        <f>HYPERLINK("https://optomposuda.ru/product/schetka-dlya-ulicy-derevyannaya-40-sm","открыть")</f>
        <v>открыть</v>
      </c>
    </row>
    <row r="511" spans="1:9" x14ac:dyDescent="0.25">
      <c r="A511" t="s">
        <v>1737</v>
      </c>
      <c r="B511" t="s">
        <v>1738</v>
      </c>
      <c r="C511" t="s">
        <v>763</v>
      </c>
      <c r="D511" s="8">
        <v>12</v>
      </c>
      <c r="E511" s="9">
        <v>322.14</v>
      </c>
      <c r="F511" s="8">
        <v>92</v>
      </c>
      <c r="G511" s="10"/>
      <c r="H511" s="9" t="str">
        <f>IF(G511="","",E511*G511)</f>
        <v/>
      </c>
      <c r="I511" s="11" t="str">
        <f>HYPERLINK("https://optomposuda.ru/product/schetka-dlya-ulicy-derevyannaya-50-sm","открыть")</f>
        <v>открыть</v>
      </c>
    </row>
    <row r="512" spans="1:9" x14ac:dyDescent="0.25">
      <c r="A512" t="s">
        <v>1739</v>
      </c>
      <c r="B512" t="s">
        <v>1740</v>
      </c>
      <c r="C512" t="s">
        <v>763</v>
      </c>
      <c r="D512" s="8">
        <v>36</v>
      </c>
      <c r="E512" s="9">
        <v>116.21</v>
      </c>
      <c r="F512" s="8">
        <v>47</v>
      </c>
      <c r="G512" s="10"/>
      <c r="H512" s="9" t="str">
        <f>IF(G512="","",E512*G512)</f>
        <v/>
      </c>
      <c r="I512" s="11" t="str">
        <f>HYPERLINK("https://optomposuda.ru/product/schetka-universalnaya-prestige","открыть")</f>
        <v>открыть</v>
      </c>
    </row>
    <row r="513" spans="1:9" x14ac:dyDescent="0.25">
      <c r="A513" t="s">
        <v>1741</v>
      </c>
      <c r="B513" t="s">
        <v>1742</v>
      </c>
      <c r="C513" t="s">
        <v>763</v>
      </c>
      <c r="D513" s="8">
        <v>60</v>
      </c>
      <c r="E513" s="9">
        <v>97.8</v>
      </c>
      <c r="F513" s="8">
        <v>173</v>
      </c>
      <c r="G513" s="10"/>
      <c r="H513" s="9" t="str">
        <f>IF(G513="","",E513*G513)</f>
        <v/>
      </c>
      <c r="I513" s="11" t="str">
        <f>HYPERLINK("https://optomposuda.ru/product/schetka-pylesos-duet","открыть")</f>
        <v>открыть</v>
      </c>
    </row>
    <row r="514" spans="1:9" x14ac:dyDescent="0.25">
      <c r="A514" t="s">
        <v>1743</v>
      </c>
      <c r="B514" t="s">
        <v>1744</v>
      </c>
      <c r="C514" t="s">
        <v>763</v>
      </c>
      <c r="D514" s="8">
        <v>72</v>
      </c>
      <c r="E514" s="9">
        <v>57.08</v>
      </c>
      <c r="F514" s="8">
        <v>249</v>
      </c>
      <c r="G514" s="10"/>
      <c r="H514" s="9" t="str">
        <f>IF(G514="","",E514*G514)</f>
        <v/>
      </c>
      <c r="I514" s="11" t="str">
        <f>HYPERLINK("https://optomposuda.ru/product/schetka-pylesos-solo","открыть")</f>
        <v>открыть</v>
      </c>
    </row>
    <row r="515" spans="1:9" x14ac:dyDescent="0.25">
      <c r="A515" t="s">
        <v>1745</v>
      </c>
      <c r="B515" t="s">
        <v>1746</v>
      </c>
      <c r="C515" t="s">
        <v>763</v>
      </c>
      <c r="D515" s="8">
        <v>48</v>
      </c>
      <c r="E515" s="9">
        <v>123.11</v>
      </c>
      <c r="F515" s="8">
        <v>182</v>
      </c>
      <c r="G515" s="10"/>
      <c r="H515" s="9" t="str">
        <f>IF(G515="","",E515*G515)</f>
        <v/>
      </c>
      <c r="I515" s="11" t="str">
        <f>HYPERLINK("https://optomposuda.ru/product/schetka-pylesos-trio","открыть")</f>
        <v>открыть</v>
      </c>
    </row>
    <row r="516" spans="1:9" x14ac:dyDescent="0.25">
      <c r="A516" t="s">
        <v>1747</v>
      </c>
      <c r="B516" t="s">
        <v>1748</v>
      </c>
      <c r="C516" t="s">
        <v>763</v>
      </c>
      <c r="D516" s="8">
        <v>6</v>
      </c>
      <c r="E516" s="9">
        <v>948.42</v>
      </c>
      <c r="F516" s="8">
        <v>10</v>
      </c>
      <c r="G516" s="10"/>
      <c r="H516" s="9" t="str">
        <f>IF(G516="","",E516*G516)</f>
        <v/>
      </c>
      <c r="I516" s="11" t="str">
        <f>HYPERLINK("https://optomposuda.ru/product/yaschik-dlya-igrushek-kidsbox-613h408h335-na-kolesah-cveta-v-assortimente","открыть")</f>
        <v>открыть</v>
      </c>
    </row>
    <row r="517" spans="1:9" x14ac:dyDescent="0.25">
      <c r="A517" t="s">
        <v>1749</v>
      </c>
      <c r="B517" t="s">
        <v>1750</v>
      </c>
      <c r="C517" t="s">
        <v>763</v>
      </c>
      <c r="D517" s="8">
        <v>12</v>
      </c>
      <c r="E517" s="9">
        <v>306.01</v>
      </c>
      <c r="F517" s="8">
        <v>24</v>
      </c>
      <c r="G517" s="10"/>
      <c r="H517" s="9" t="str">
        <f>IF(G517="","",E517*G517)</f>
        <v/>
      </c>
      <c r="I517" s="11" t="str">
        <f>HYPERLINK("https://optomposuda.ru/product/yaschik-universalnyy-kaskad-cveta-v-assortimente","открыть")</f>
        <v>открыть</v>
      </c>
    </row>
  </sheetData>
  <autoFilter ref="A7:I7"/>
  <mergeCells count="11">
    <mergeCell ref="A1:I1"/>
    <mergeCell ref="A2:I2"/>
    <mergeCell ref="A3:I3"/>
    <mergeCell ref="A4:I4"/>
    <mergeCell ref="A8:I8"/>
    <mergeCell ref="A37:I37"/>
    <mergeCell ref="A171:I171"/>
    <mergeCell ref="A228:I228"/>
    <mergeCell ref="A309:I309"/>
    <mergeCell ref="A314:I314"/>
    <mergeCell ref="A356:I356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1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1751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SUM(H8:H911)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1752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1753</v>
      </c>
      <c r="B9" t="s">
        <v>1754</v>
      </c>
      <c r="C9" t="s">
        <v>1751</v>
      </c>
      <c r="D9" s="8">
        <v>6</v>
      </c>
      <c r="E9" s="9">
        <v>232.02</v>
      </c>
      <c r="F9" s="8">
        <v>1</v>
      </c>
      <c r="G9" s="10"/>
      <c r="H9" s="9" t="str">
        <f>IF(G9="","",E9*G9)</f>
        <v/>
      </c>
      <c r="I9" s="11" t="str">
        <f>HYPERLINK("https://optomposuda.ru/product/blyudo-amarantovoe-sechenie-21-21-1-8-sm","открыть")</f>
        <v>открыть</v>
      </c>
    </row>
    <row r="10" spans="1:9" x14ac:dyDescent="0.25">
      <c r="A10" t="s">
        <v>1755</v>
      </c>
      <c r="B10" t="s">
        <v>1756</v>
      </c>
      <c r="C10" t="s">
        <v>1751</v>
      </c>
      <c r="D10" s="8">
        <v>6</v>
      </c>
      <c r="E10" s="9">
        <v>372.73</v>
      </c>
      <c r="F10" s="8">
        <v>6</v>
      </c>
      <c r="G10" s="10"/>
      <c r="H10" s="9" t="str">
        <f>IF(G10="","",E10*G10)</f>
        <v/>
      </c>
      <c r="I10" s="11" t="str">
        <f>HYPERLINK("https://optomposuda.ru/product/blyudo-amarantovoe-sechenie-28-28-2-sm","открыть")</f>
        <v>открыть</v>
      </c>
    </row>
    <row r="11" spans="1:9" x14ac:dyDescent="0.25">
      <c r="A11" t="s">
        <v>1757</v>
      </c>
      <c r="B11" t="s">
        <v>1758</v>
      </c>
      <c r="C11" t="s">
        <v>1751</v>
      </c>
      <c r="D11" s="8">
        <v>4</v>
      </c>
      <c r="E11" s="9">
        <v>839.18</v>
      </c>
      <c r="F11" s="8">
        <v>206</v>
      </c>
      <c r="G11" s="10"/>
      <c r="H11" s="9" t="str">
        <f>IF(G11="","",E11*G11)</f>
        <v/>
      </c>
      <c r="I11" s="11" t="str">
        <f>HYPERLINK("https://optomposuda.ru/product/blyudo-antichnaya-roza-30-sm-zoloto-17893-g","открыть")</f>
        <v>открыть</v>
      </c>
    </row>
    <row r="12" spans="1:9" x14ac:dyDescent="0.25">
      <c r="A12" t="s">
        <v>1759</v>
      </c>
      <c r="B12" t="s">
        <v>1760</v>
      </c>
      <c r="C12" t="s">
        <v>1751</v>
      </c>
      <c r="D12" s="8">
        <v>4</v>
      </c>
      <c r="E12" s="9">
        <v>839.18</v>
      </c>
      <c r="F12" s="8">
        <v>147</v>
      </c>
      <c r="G12" s="10"/>
      <c r="H12" s="9" t="str">
        <f>IF(G12="","",E12*G12)</f>
        <v/>
      </c>
      <c r="I12" s="11" t="str">
        <f>HYPERLINK("https://optomposuda.ru/product/blyudo-antichnaya-roza-30-sm-platina-17893-r","открыть")</f>
        <v>открыть</v>
      </c>
    </row>
    <row r="13" spans="1:9" x14ac:dyDescent="0.25">
      <c r="A13" t="s">
        <v>1761</v>
      </c>
      <c r="B13" t="s">
        <v>1762</v>
      </c>
      <c r="C13" t="s">
        <v>1751</v>
      </c>
      <c r="D13" s="8">
        <v>4</v>
      </c>
      <c r="E13" s="9">
        <v>719.26</v>
      </c>
      <c r="F13" s="8">
        <v>103</v>
      </c>
      <c r="G13" s="10"/>
      <c r="H13" s="9" t="str">
        <f>IF(G13="","",E13*G13)</f>
        <v/>
      </c>
      <c r="I13" s="11" t="str">
        <f>HYPERLINK("https://optomposuda.ru/product/blyudo-barokko-blek-30sm-15772-1","открыть")</f>
        <v>открыть</v>
      </c>
    </row>
    <row r="14" spans="1:9" x14ac:dyDescent="0.25">
      <c r="A14" t="s">
        <v>1763</v>
      </c>
      <c r="B14" t="s">
        <v>1764</v>
      </c>
      <c r="C14" t="s">
        <v>1751</v>
      </c>
      <c r="D14" s="8">
        <v>4</v>
      </c>
      <c r="E14" s="9">
        <v>693.83</v>
      </c>
      <c r="F14" s="8">
        <v>53</v>
      </c>
      <c r="G14" s="10"/>
      <c r="H14" s="9" t="str">
        <f>IF(G14="","",E14*G14)</f>
        <v/>
      </c>
      <c r="I14" s="11" t="str">
        <f>HYPERLINK("https://optomposuda.ru/product/blyudo-barokko-gold-30sm-15772-2","открыть")</f>
        <v>открыть</v>
      </c>
    </row>
    <row r="15" spans="1:9" x14ac:dyDescent="0.25">
      <c r="A15" t="s">
        <v>1765</v>
      </c>
      <c r="B15" t="s">
        <v>1766</v>
      </c>
      <c r="C15" t="s">
        <v>1751</v>
      </c>
      <c r="D15" s="8">
        <v>8</v>
      </c>
      <c r="E15" s="9">
        <v>308.19</v>
      </c>
      <c r="F15" s="8">
        <v>5</v>
      </c>
      <c r="G15" s="10"/>
      <c r="H15" s="9" t="str">
        <f>IF(G15="","",E15*G15)</f>
        <v/>
      </c>
      <c r="I15" s="11" t="str">
        <f>HYPERLINK("https://optomposuda.ru/product/blyudo-belaya-zhemchuzhina-21-sm","открыть")</f>
        <v>открыть</v>
      </c>
    </row>
    <row r="16" spans="1:9" x14ac:dyDescent="0.25">
      <c r="A16" t="s">
        <v>1767</v>
      </c>
      <c r="B16" t="s">
        <v>1768</v>
      </c>
      <c r="C16" t="s">
        <v>1751</v>
      </c>
      <c r="D16" s="8">
        <v>6</v>
      </c>
      <c r="E16" s="9">
        <v>555.63</v>
      </c>
      <c r="F16" s="8">
        <v>57</v>
      </c>
      <c r="G16" s="10"/>
      <c r="H16" s="9" t="str">
        <f>IF(G16="","",E16*G16)</f>
        <v/>
      </c>
      <c r="I16" s="11" t="str">
        <f>HYPERLINK("https://optomposuda.ru/product/blyudo-belaya-zhemchuzhina-28-sm","открыть")</f>
        <v>открыть</v>
      </c>
    </row>
    <row r="17" spans="1:9" x14ac:dyDescent="0.25">
      <c r="A17" t="s">
        <v>1769</v>
      </c>
      <c r="B17" t="s">
        <v>1770</v>
      </c>
      <c r="C17" t="s">
        <v>1751</v>
      </c>
      <c r="D17" s="8">
        <v>6</v>
      </c>
      <c r="E17" s="9">
        <v>376.5</v>
      </c>
      <c r="F17" s="8">
        <v>6</v>
      </c>
      <c r="G17" s="10"/>
      <c r="H17" s="9" t="str">
        <f>IF(G17="","",E17*G17)</f>
        <v/>
      </c>
      <c r="I17" s="11" t="str">
        <f>HYPERLINK("https://optomposuda.ru/product/blyudo-virol-blansh-28-28-2-sm-serebro","открыть")</f>
        <v>открыть</v>
      </c>
    </row>
    <row r="18" spans="1:9" x14ac:dyDescent="0.25">
      <c r="A18" t="s">
        <v>1771</v>
      </c>
      <c r="B18" t="s">
        <v>1772</v>
      </c>
      <c r="C18" t="s">
        <v>1751</v>
      </c>
      <c r="D18" s="8">
        <v>8</v>
      </c>
      <c r="E18" s="9">
        <v>239.8</v>
      </c>
      <c r="F18" s="8">
        <v>1</v>
      </c>
      <c r="G18" s="10"/>
      <c r="H18" s="9" t="str">
        <f>IF(G18="","",E18*G18)</f>
        <v/>
      </c>
      <c r="I18" s="11" t="str">
        <f>HYPERLINK("https://optomposuda.ru/product/blyudo-virol-sher-21-21-1-5-sm","открыть")</f>
        <v>открыть</v>
      </c>
    </row>
    <row r="19" spans="1:9" x14ac:dyDescent="0.25">
      <c r="A19" t="s">
        <v>1773</v>
      </c>
      <c r="B19" t="s">
        <v>1774</v>
      </c>
      <c r="C19" t="s">
        <v>1751</v>
      </c>
      <c r="D19" s="8">
        <v>8</v>
      </c>
      <c r="E19" s="9">
        <v>266.79</v>
      </c>
      <c r="F19" s="8">
        <v>3</v>
      </c>
      <c r="G19" s="10"/>
      <c r="H19" s="9" t="str">
        <f>IF(G19="","",E19*G19)</f>
        <v/>
      </c>
      <c r="I19" s="11" t="str">
        <f>HYPERLINK("https://optomposuda.ru/product/blyudo-volshebnaya-tykva-21-sm-fioletovaya","открыть")</f>
        <v>открыть</v>
      </c>
    </row>
    <row r="20" spans="1:9" x14ac:dyDescent="0.25">
      <c r="A20" t="s">
        <v>1775</v>
      </c>
      <c r="B20" t="s">
        <v>1776</v>
      </c>
      <c r="C20" t="s">
        <v>1751</v>
      </c>
      <c r="D20" s="8">
        <v>8</v>
      </c>
      <c r="E20" s="9">
        <v>266.79</v>
      </c>
      <c r="F20" s="8">
        <v>1</v>
      </c>
      <c r="G20" s="10"/>
      <c r="H20" s="9" t="str">
        <f>IF(G20="","",E20*G20)</f>
        <v/>
      </c>
      <c r="I20" s="11" t="str">
        <f>HYPERLINK("https://optomposuda.ru/product/blyudo-volshebnaya-tykva-21-21-2-sm-oranzhevoe","открыть")</f>
        <v>открыть</v>
      </c>
    </row>
    <row r="21" spans="1:9" x14ac:dyDescent="0.25">
      <c r="A21" t="s">
        <v>1777</v>
      </c>
      <c r="B21" t="s">
        <v>1778</v>
      </c>
      <c r="C21" t="s">
        <v>1751</v>
      </c>
      <c r="D21" s="8">
        <v>8</v>
      </c>
      <c r="E21" s="9">
        <v>266.79</v>
      </c>
      <c r="F21" s="8">
        <v>3</v>
      </c>
      <c r="G21" s="10"/>
      <c r="H21" s="9" t="str">
        <f>IF(G21="","",E21*G21)</f>
        <v/>
      </c>
      <c r="I21" s="11" t="str">
        <f>HYPERLINK("https://optomposuda.ru/product/blyudo-volshebnaya-tykva-21-21-2-sm-serebristoe","открыть")</f>
        <v>открыть</v>
      </c>
    </row>
    <row r="22" spans="1:9" x14ac:dyDescent="0.25">
      <c r="A22" t="s">
        <v>1779</v>
      </c>
      <c r="B22" t="s">
        <v>1780</v>
      </c>
      <c r="C22" t="s">
        <v>1751</v>
      </c>
      <c r="D22" s="8">
        <v>4</v>
      </c>
      <c r="E22" s="9">
        <v>1623.72</v>
      </c>
      <c r="F22" s="8">
        <v>245</v>
      </c>
      <c r="G22" s="10"/>
      <c r="H22" s="9" t="str">
        <f>IF(G22="","",E22*G22)</f>
        <v/>
      </c>
      <c r="I22" s="11" t="str">
        <f>HYPERLINK("https://optomposuda.ru/product/blyudo-vyuga-40-sm","открыть")</f>
        <v>открыть</v>
      </c>
    </row>
    <row r="23" spans="1:9" x14ac:dyDescent="0.25">
      <c r="A23" t="s">
        <v>1781</v>
      </c>
      <c r="B23" t="s">
        <v>1782</v>
      </c>
      <c r="C23" t="s">
        <v>1751</v>
      </c>
      <c r="D23" s="8">
        <v>6</v>
      </c>
      <c r="E23" s="9">
        <v>450.91</v>
      </c>
      <c r="F23" s="8">
        <v>43</v>
      </c>
      <c r="G23" s="10"/>
      <c r="H23" s="9" t="str">
        <f>IF(G23="","",E23*G23)</f>
        <v/>
      </c>
      <c r="I23" s="11" t="str">
        <f>HYPERLINK("https://optomposuda.ru/product/blyudo-granat-21-sm","открыть")</f>
        <v>открыть</v>
      </c>
    </row>
    <row r="24" spans="1:9" x14ac:dyDescent="0.25">
      <c r="A24" t="s">
        <v>1783</v>
      </c>
      <c r="B24" t="s">
        <v>1784</v>
      </c>
      <c r="C24" t="s">
        <v>1751</v>
      </c>
      <c r="D24" s="8">
        <v>4</v>
      </c>
      <c r="E24" s="9">
        <v>661.27</v>
      </c>
      <c r="F24" s="8">
        <v>151</v>
      </c>
      <c r="G24" s="10"/>
      <c r="H24" s="9" t="str">
        <f>IF(G24="","",E24*G24)</f>
        <v/>
      </c>
      <c r="I24" s="11" t="str">
        <f>HYPERLINK("https://optomposuda.ru/product/blyudo-elochka-belosnezhnaya-30-sm","открыть")</f>
        <v>открыть</v>
      </c>
    </row>
    <row r="25" spans="1:9" x14ac:dyDescent="0.25">
      <c r="A25" t="s">
        <v>1785</v>
      </c>
      <c r="B25" t="s">
        <v>1786</v>
      </c>
      <c r="C25" t="s">
        <v>1751</v>
      </c>
      <c r="D25" s="8">
        <v>6</v>
      </c>
      <c r="E25" s="9">
        <v>783.08</v>
      </c>
      <c r="F25" s="8">
        <v>264</v>
      </c>
      <c r="G25" s="10"/>
      <c r="H25" s="9" t="str">
        <f>IF(G25="","",E25*G25)</f>
        <v/>
      </c>
      <c r="I25" s="11" t="str">
        <f>HYPERLINK("https://optomposuda.ru/product/blyudo-elochka-v-snegu-28-sm","открыть")</f>
        <v>открыть</v>
      </c>
    </row>
    <row r="26" spans="1:9" x14ac:dyDescent="0.25">
      <c r="A26" t="s">
        <v>1787</v>
      </c>
      <c r="B26" t="s">
        <v>1788</v>
      </c>
      <c r="C26" t="s">
        <v>1751</v>
      </c>
      <c r="D26" s="8">
        <v>8</v>
      </c>
      <c r="E26" s="9">
        <v>375.17</v>
      </c>
      <c r="F26" s="8">
        <v>139</v>
      </c>
      <c r="G26" s="10"/>
      <c r="H26" s="9" t="str">
        <f>IF(G26="","",E26*G26)</f>
        <v/>
      </c>
      <c r="I26" s="11" t="str">
        <f>HYPERLINK("https://optomposuda.ru/product/blyudo-elochka-zelenaya-21-sm","открыть")</f>
        <v>открыть</v>
      </c>
    </row>
    <row r="27" spans="1:9" x14ac:dyDescent="0.25">
      <c r="A27" t="s">
        <v>1789</v>
      </c>
      <c r="B27" t="s">
        <v>1790</v>
      </c>
      <c r="C27" t="s">
        <v>1751</v>
      </c>
      <c r="D27" s="8">
        <v>6</v>
      </c>
      <c r="E27" s="9">
        <v>487.25</v>
      </c>
      <c r="F27" s="8">
        <v>106</v>
      </c>
      <c r="G27" s="10"/>
      <c r="H27" s="9" t="str">
        <f>IF(G27="","",E27*G27)</f>
        <v/>
      </c>
      <c r="I27" s="11" t="str">
        <f>HYPERLINK("https://optomposuda.ru/product/blyudo-elochka-zelenaya-28-sm","открыть")</f>
        <v>открыть</v>
      </c>
    </row>
    <row r="28" spans="1:9" x14ac:dyDescent="0.25">
      <c r="A28" t="s">
        <v>1791</v>
      </c>
      <c r="B28" t="s">
        <v>1792</v>
      </c>
      <c r="C28" t="s">
        <v>1751</v>
      </c>
      <c r="D28" s="8">
        <v>6</v>
      </c>
      <c r="E28" s="9">
        <v>731.6</v>
      </c>
      <c r="F28" s="8">
        <v>148</v>
      </c>
      <c r="G28" s="10"/>
      <c r="H28" s="9" t="str">
        <f>IF(G28="","",E28*G28)</f>
        <v/>
      </c>
      <c r="I28" s="11" t="str">
        <f>HYPERLINK("https://optomposuda.ru/product/blyudo-elochka-zelenaya-30-sm","открыть")</f>
        <v>открыть</v>
      </c>
    </row>
    <row r="29" spans="1:9" x14ac:dyDescent="0.25">
      <c r="A29" t="s">
        <v>1793</v>
      </c>
      <c r="B29" t="s">
        <v>1794</v>
      </c>
      <c r="C29" t="s">
        <v>1751</v>
      </c>
      <c r="D29" s="8">
        <v>6</v>
      </c>
      <c r="E29" s="9">
        <v>487.25</v>
      </c>
      <c r="F29" s="8">
        <v>194</v>
      </c>
      <c r="G29" s="10"/>
      <c r="H29" s="9" t="str">
        <f>IF(G29="","",E29*G29)</f>
        <v/>
      </c>
      <c r="I29" s="11" t="str">
        <f>HYPERLINK("https://optomposuda.ru/product/blyudo-elochka-zolotaya-28-sm","открыть")</f>
        <v>открыть</v>
      </c>
    </row>
    <row r="30" spans="1:9" x14ac:dyDescent="0.25">
      <c r="A30" t="s">
        <v>1795</v>
      </c>
      <c r="B30" t="s">
        <v>1796</v>
      </c>
      <c r="C30" t="s">
        <v>1751</v>
      </c>
      <c r="D30" s="8">
        <v>6</v>
      </c>
      <c r="E30" s="9">
        <v>487.25</v>
      </c>
      <c r="F30" s="8">
        <v>148</v>
      </c>
      <c r="G30" s="10"/>
      <c r="H30" s="9" t="str">
        <f>IF(G30="","",E30*G30)</f>
        <v/>
      </c>
      <c r="I30" s="11" t="str">
        <f>HYPERLINK("https://optomposuda.ru/product/blyudo-elochka-krasnaya-28-sm","открыть")</f>
        <v>открыть</v>
      </c>
    </row>
    <row r="31" spans="1:9" x14ac:dyDescent="0.25">
      <c r="A31" t="s">
        <v>1797</v>
      </c>
      <c r="B31" t="s">
        <v>1798</v>
      </c>
      <c r="C31" t="s">
        <v>1751</v>
      </c>
      <c r="D31" s="8">
        <v>24</v>
      </c>
      <c r="E31" s="9">
        <v>260.02</v>
      </c>
      <c r="F31" s="8">
        <v>22</v>
      </c>
      <c r="G31" s="10"/>
      <c r="H31" s="9" t="str">
        <f>IF(G31="","",E31*G31)</f>
        <v/>
      </c>
      <c r="I31" s="11" t="str">
        <f>HYPERLINK("https://optomposuda.ru/product/blyudo-zvezda-17-sm-zolotaya","открыть")</f>
        <v>открыть</v>
      </c>
    </row>
    <row r="32" spans="1:9" x14ac:dyDescent="0.25">
      <c r="A32" t="s">
        <v>1799</v>
      </c>
      <c r="B32" t="s">
        <v>1800</v>
      </c>
      <c r="C32" t="s">
        <v>1751</v>
      </c>
      <c r="D32" s="8">
        <v>24</v>
      </c>
      <c r="E32" s="9">
        <v>260.02</v>
      </c>
      <c r="F32" s="8">
        <v>195</v>
      </c>
      <c r="G32" s="10"/>
      <c r="H32" s="9" t="str">
        <f>IF(G32="","",E32*G32)</f>
        <v/>
      </c>
      <c r="I32" s="11" t="str">
        <f>HYPERLINK("https://optomposuda.ru/product/blyudo-zvezda-17-sm-krasnaya","открыть")</f>
        <v>открыть</v>
      </c>
    </row>
    <row r="33" spans="1:9" x14ac:dyDescent="0.25">
      <c r="A33" t="s">
        <v>1801</v>
      </c>
      <c r="B33" t="s">
        <v>1802</v>
      </c>
      <c r="C33" t="s">
        <v>1751</v>
      </c>
      <c r="D33" s="8">
        <v>24</v>
      </c>
      <c r="E33" s="9">
        <v>260.02</v>
      </c>
      <c r="F33" s="8">
        <v>265</v>
      </c>
      <c r="G33" s="10"/>
      <c r="H33" s="9" t="str">
        <f>IF(G33="","",E33*G33)</f>
        <v/>
      </c>
      <c r="I33" s="11" t="str">
        <f>HYPERLINK("https://optomposuda.ru/product/blyudo-zvezda-17-sm-serebryanaya","открыть")</f>
        <v>открыть</v>
      </c>
    </row>
    <row r="34" spans="1:9" x14ac:dyDescent="0.25">
      <c r="A34" t="s">
        <v>1803</v>
      </c>
      <c r="B34" t="s">
        <v>1804</v>
      </c>
      <c r="C34" t="s">
        <v>1751</v>
      </c>
      <c r="D34" s="8">
        <v>8</v>
      </c>
      <c r="E34" s="9">
        <v>308.19</v>
      </c>
      <c r="F34" s="8">
        <v>3</v>
      </c>
      <c r="G34" s="10"/>
      <c r="H34" s="9" t="str">
        <f>IF(G34="","",E34*G34)</f>
        <v/>
      </c>
      <c r="I34" s="11" t="str">
        <f>HYPERLINK("https://optomposuda.ru/product/blyudo-zolotaya-zhemchuzhina-21-sm","открыть")</f>
        <v>открыть</v>
      </c>
    </row>
    <row r="35" spans="1:9" x14ac:dyDescent="0.25">
      <c r="A35" t="s">
        <v>1805</v>
      </c>
      <c r="B35" t="s">
        <v>1806</v>
      </c>
      <c r="C35" t="s">
        <v>1751</v>
      </c>
      <c r="D35" s="8">
        <v>6</v>
      </c>
      <c r="E35" s="9">
        <v>555.63</v>
      </c>
      <c r="F35" s="8">
        <v>32</v>
      </c>
      <c r="G35" s="10"/>
      <c r="H35" s="9" t="str">
        <f>IF(G35="","",E35*G35)</f>
        <v/>
      </c>
      <c r="I35" s="11" t="str">
        <f>HYPERLINK("https://optomposuda.ru/product/blyudo-zolotaya-zhemchuzhina-28-sm","открыть")</f>
        <v>открыть</v>
      </c>
    </row>
    <row r="36" spans="1:9" x14ac:dyDescent="0.25">
      <c r="A36" t="s">
        <v>1807</v>
      </c>
      <c r="B36" t="s">
        <v>1808</v>
      </c>
      <c r="C36" t="s">
        <v>1751</v>
      </c>
      <c r="D36" s="8">
        <v>16</v>
      </c>
      <c r="E36" s="9">
        <v>188.13</v>
      </c>
      <c r="F36" s="8">
        <v>202</v>
      </c>
      <c r="G36" s="10"/>
      <c r="H36" s="9" t="str">
        <f>IF(G36="","",E36*G36)</f>
        <v/>
      </c>
      <c r="I36" s="11" t="str">
        <f>HYPERLINK("https://optomposuda.ru/product/blyudo-zolotoy-granat-13-sm","открыть")</f>
        <v>открыть</v>
      </c>
    </row>
    <row r="37" spans="1:9" x14ac:dyDescent="0.25">
      <c r="A37" t="s">
        <v>1809</v>
      </c>
      <c r="B37" t="s">
        <v>1810</v>
      </c>
      <c r="C37" t="s">
        <v>1751</v>
      </c>
      <c r="D37" s="8">
        <v>5</v>
      </c>
      <c r="E37" s="9">
        <v>560.98</v>
      </c>
      <c r="F37" s="8">
        <v>174</v>
      </c>
      <c r="G37" s="10"/>
      <c r="H37" s="9" t="str">
        <f>IF(G37="","",E37*G37)</f>
        <v/>
      </c>
      <c r="I37" s="11" t="str">
        <f>HYPERLINK("https://optomposuda.ru/product/blyudo-zolotoy-list-24-sm-19895","открыть")</f>
        <v>открыть</v>
      </c>
    </row>
    <row r="38" spans="1:9" x14ac:dyDescent="0.25">
      <c r="A38" t="s">
        <v>1811</v>
      </c>
      <c r="B38" t="s">
        <v>1812</v>
      </c>
      <c r="C38" t="s">
        <v>1751</v>
      </c>
      <c r="D38" s="8">
        <v>4</v>
      </c>
      <c r="E38" s="9">
        <v>846.72</v>
      </c>
      <c r="F38" s="8">
        <v>211</v>
      </c>
      <c r="G38" s="10"/>
      <c r="H38" s="9" t="str">
        <f>IF(G38="","",E38*G38)</f>
        <v/>
      </c>
      <c r="I38" s="11" t="str">
        <f>HYPERLINK("https://optomposuda.ru/product/blyudo-zolotoy-list-30-sm-19896","открыть")</f>
        <v>открыть</v>
      </c>
    </row>
    <row r="39" spans="1:9" x14ac:dyDescent="0.25">
      <c r="A39" t="s">
        <v>1813</v>
      </c>
      <c r="B39" t="s">
        <v>1814</v>
      </c>
      <c r="C39" t="s">
        <v>1751</v>
      </c>
      <c r="D39" s="8">
        <v>6</v>
      </c>
      <c r="E39" s="9">
        <v>780.59</v>
      </c>
      <c r="F39" s="8">
        <v>2</v>
      </c>
      <c r="G39" s="10"/>
      <c r="H39" s="9" t="str">
        <f>IF(G39="","",E39*G39)</f>
        <v/>
      </c>
      <c r="I39" s="11" t="str">
        <f>HYPERLINK("https://optomposuda.ru/product/blyudo-karibskie-korally-28-sm","открыть")</f>
        <v>открыть</v>
      </c>
    </row>
    <row r="40" spans="1:9" x14ac:dyDescent="0.25">
      <c r="A40" t="s">
        <v>1815</v>
      </c>
      <c r="B40" t="s">
        <v>1816</v>
      </c>
      <c r="C40" t="s">
        <v>1751</v>
      </c>
      <c r="D40" s="8">
        <v>24</v>
      </c>
      <c r="E40" s="9">
        <v>228.3</v>
      </c>
      <c r="F40" s="8">
        <v>196</v>
      </c>
      <c r="G40" s="10"/>
      <c r="H40" s="9" t="str">
        <f>IF(G40="","",E40*G40)</f>
        <v/>
      </c>
      <c r="I40" s="11" t="str">
        <f>HYPERLINK("https://optomposuda.ru/product/blyudo-klenovyy-list-17-sm-19099","открыть")</f>
        <v>открыть</v>
      </c>
    </row>
    <row r="41" spans="1:9" x14ac:dyDescent="0.25">
      <c r="A41" t="s">
        <v>1817</v>
      </c>
      <c r="B41" t="s">
        <v>1818</v>
      </c>
      <c r="C41" t="s">
        <v>1751</v>
      </c>
      <c r="D41" s="8">
        <v>6</v>
      </c>
      <c r="E41" s="9">
        <v>272.93</v>
      </c>
      <c r="F41" s="8">
        <v>207</v>
      </c>
      <c r="G41" s="10"/>
      <c r="H41" s="9" t="str">
        <f>IF(G41="","",E41*G41)</f>
        <v/>
      </c>
      <c r="I41" s="11" t="str">
        <f>HYPERLINK("https://optomposuda.ru/product/blyudo-klenovyy-list-21-sm-19085","открыть")</f>
        <v>открыть</v>
      </c>
    </row>
    <row r="42" spans="1:9" x14ac:dyDescent="0.25">
      <c r="A42" t="s">
        <v>1819</v>
      </c>
      <c r="B42" t="s">
        <v>1820</v>
      </c>
      <c r="C42" t="s">
        <v>1751</v>
      </c>
      <c r="D42" s="8">
        <v>4</v>
      </c>
      <c r="E42" s="9">
        <v>525.1</v>
      </c>
      <c r="F42" s="8">
        <v>213</v>
      </c>
      <c r="G42" s="10"/>
      <c r="H42" s="9" t="str">
        <f>IF(G42="","",E42*G42)</f>
        <v/>
      </c>
      <c r="I42" s="11" t="str">
        <f>HYPERLINK("https://optomposuda.ru/product/blyudo-klenovyy-list-29-sm-19086","открыть")</f>
        <v>открыть</v>
      </c>
    </row>
    <row r="43" spans="1:9" x14ac:dyDescent="0.25">
      <c r="A43" t="s">
        <v>1821</v>
      </c>
      <c r="B43" t="s">
        <v>1822</v>
      </c>
      <c r="C43" t="s">
        <v>1751</v>
      </c>
      <c r="D43" s="8">
        <v>24</v>
      </c>
      <c r="E43" s="9">
        <v>231.96</v>
      </c>
      <c r="F43" s="8">
        <v>272</v>
      </c>
      <c r="G43" s="10"/>
      <c r="H43" s="9" t="str">
        <f>IF(G43="","",E43*G43)</f>
        <v/>
      </c>
      <c r="I43" s="11" t="str">
        <f>HYPERLINK("https://optomposuda.ru/product/blyudo-kristall-17-sm-zelenoe","открыть")</f>
        <v>открыть</v>
      </c>
    </row>
    <row r="44" spans="1:9" x14ac:dyDescent="0.25">
      <c r="A44" t="s">
        <v>1823</v>
      </c>
      <c r="B44" t="s">
        <v>1824</v>
      </c>
      <c r="C44" t="s">
        <v>1751</v>
      </c>
      <c r="D44" s="8">
        <v>24</v>
      </c>
      <c r="E44" s="9">
        <v>231.96</v>
      </c>
      <c r="F44" s="8">
        <v>15</v>
      </c>
      <c r="G44" s="10"/>
      <c r="H44" s="9" t="str">
        <f>IF(G44="","",E44*G44)</f>
        <v/>
      </c>
      <c r="I44" s="11" t="str">
        <f>HYPERLINK("https://optomposuda.ru/product/blyudo-kristall-17-sm-krasnoe","открыть")</f>
        <v>открыть</v>
      </c>
    </row>
    <row r="45" spans="1:9" x14ac:dyDescent="0.25">
      <c r="A45" t="s">
        <v>1825</v>
      </c>
      <c r="B45" t="s">
        <v>1826</v>
      </c>
      <c r="C45" t="s">
        <v>1751</v>
      </c>
      <c r="D45" s="8">
        <v>6</v>
      </c>
      <c r="E45" s="9">
        <v>1298.97</v>
      </c>
      <c r="F45" s="8">
        <v>211</v>
      </c>
      <c r="G45" s="10"/>
      <c r="H45" s="9" t="str">
        <f>IF(G45="","",E45*G45)</f>
        <v/>
      </c>
      <c r="I45" s="11" t="str">
        <f>HYPERLINK("https://optomposuda.ru/product/blyudo-krylo-angela-32-sm-zoloto","открыть")</f>
        <v>открыть</v>
      </c>
    </row>
    <row r="46" spans="1:9" x14ac:dyDescent="0.25">
      <c r="A46" t="s">
        <v>1827</v>
      </c>
      <c r="B46" t="s">
        <v>1828</v>
      </c>
      <c r="C46" t="s">
        <v>1751</v>
      </c>
      <c r="D46" s="8">
        <v>6</v>
      </c>
      <c r="E46" s="9">
        <v>1298.97</v>
      </c>
      <c r="F46" s="8">
        <v>277</v>
      </c>
      <c r="G46" s="10"/>
      <c r="H46" s="9" t="str">
        <f>IF(G46="","",E46*G46)</f>
        <v/>
      </c>
      <c r="I46" s="11" t="str">
        <f>HYPERLINK("https://optomposuda.ru/product/blyudo-krylo-angela-32-sm-serebro","открыть")</f>
        <v>открыть</v>
      </c>
    </row>
    <row r="47" spans="1:9" x14ac:dyDescent="0.25">
      <c r="A47" t="s">
        <v>1829</v>
      </c>
      <c r="B47" t="s">
        <v>1830</v>
      </c>
      <c r="C47" t="s">
        <v>1751</v>
      </c>
      <c r="D47" s="8">
        <v>1</v>
      </c>
      <c r="E47" s="9">
        <v>849.2</v>
      </c>
      <c r="F47" s="8">
        <v>1</v>
      </c>
      <c r="G47" s="10"/>
      <c r="H47" s="9" t="str">
        <f>IF(G47="","",E47*G47)</f>
        <v/>
      </c>
      <c r="I47" s="11" t="str">
        <f>HYPERLINK("https://optomposuda.ru/product/blyudo-lavanda-bolshoe-30-sm-art-15719","открыть")</f>
        <v>открыть</v>
      </c>
    </row>
    <row r="48" spans="1:9" x14ac:dyDescent="0.25">
      <c r="A48" t="s">
        <v>1831</v>
      </c>
      <c r="B48" t="s">
        <v>1832</v>
      </c>
      <c r="C48" t="s">
        <v>1751</v>
      </c>
      <c r="D48" s="8">
        <v>16</v>
      </c>
      <c r="E48" s="9">
        <v>668.88</v>
      </c>
      <c r="F48" s="8">
        <v>321</v>
      </c>
      <c r="G48" s="10"/>
      <c r="H48" s="9" t="str">
        <f>IF(G48="","",E48*G48)</f>
        <v/>
      </c>
      <c r="I48" s="11" t="str">
        <f>HYPERLINK("https://optomposuda.ru/product/blyudo-ledyanoy-cvetok-zoloto-12-sm","открыть")</f>
        <v>открыть</v>
      </c>
    </row>
    <row r="49" spans="1:9" x14ac:dyDescent="0.25">
      <c r="A49" t="s">
        <v>1833</v>
      </c>
      <c r="B49" t="s">
        <v>1834</v>
      </c>
      <c r="C49" t="s">
        <v>1751</v>
      </c>
      <c r="D49" s="8">
        <v>8</v>
      </c>
      <c r="E49" s="9">
        <v>752.5</v>
      </c>
      <c r="F49" s="8">
        <v>307</v>
      </c>
      <c r="G49" s="10"/>
      <c r="H49" s="9" t="str">
        <f>IF(G49="","",E49*G49)</f>
        <v/>
      </c>
      <c r="I49" s="11" t="str">
        <f>HYPERLINK("https://optomposuda.ru/product/blyudo-ledyanoy-cvetok-zoloto-16-sm","открыть")</f>
        <v>открыть</v>
      </c>
    </row>
    <row r="50" spans="1:9" x14ac:dyDescent="0.25">
      <c r="A50" t="s">
        <v>1835</v>
      </c>
      <c r="B50" t="s">
        <v>1836</v>
      </c>
      <c r="C50" t="s">
        <v>1751</v>
      </c>
      <c r="D50" s="8">
        <v>4</v>
      </c>
      <c r="E50" s="9">
        <v>1287.03</v>
      </c>
      <c r="F50" s="8">
        <v>307</v>
      </c>
      <c r="G50" s="10"/>
      <c r="H50" s="9" t="str">
        <f>IF(G50="","",E50*G50)</f>
        <v/>
      </c>
      <c r="I50" s="11" t="str">
        <f>HYPERLINK("https://optomposuda.ru/product/blyudo-ledyanoy-cvetok-zoloto-22-sm","открыть")</f>
        <v>открыть</v>
      </c>
    </row>
    <row r="51" spans="1:9" x14ac:dyDescent="0.25">
      <c r="A51" t="s">
        <v>1837</v>
      </c>
      <c r="B51" t="s">
        <v>1838</v>
      </c>
      <c r="C51" t="s">
        <v>1751</v>
      </c>
      <c r="D51" s="8">
        <v>16</v>
      </c>
      <c r="E51" s="9">
        <v>668.88</v>
      </c>
      <c r="F51" s="8">
        <v>92</v>
      </c>
      <c r="G51" s="10"/>
      <c r="H51" s="9" t="str">
        <f>IF(G51="","",E51*G51)</f>
        <v/>
      </c>
      <c r="I51" s="11" t="str">
        <f>HYPERLINK("https://optomposuda.ru/product/blyudo-ledyanoy-cvetok-serebro-12-sm","открыть")</f>
        <v>открыть</v>
      </c>
    </row>
    <row r="52" spans="1:9" x14ac:dyDescent="0.25">
      <c r="A52" t="s">
        <v>1839</v>
      </c>
      <c r="B52" t="s">
        <v>1840</v>
      </c>
      <c r="C52" t="s">
        <v>1751</v>
      </c>
      <c r="D52" s="8">
        <v>8</v>
      </c>
      <c r="E52" s="9">
        <v>620.31</v>
      </c>
      <c r="F52" s="8">
        <v>174</v>
      </c>
      <c r="G52" s="10"/>
      <c r="H52" s="9" t="str">
        <f>IF(G52="","",E52*G52)</f>
        <v/>
      </c>
      <c r="I52" s="11" t="str">
        <f>HYPERLINK("https://optomposuda.ru/product/blyudo-ledyanoy-cvetok-serebro-16-sm","открыть")</f>
        <v>открыть</v>
      </c>
    </row>
    <row r="53" spans="1:9" x14ac:dyDescent="0.25">
      <c r="A53" t="s">
        <v>1841</v>
      </c>
      <c r="B53" t="s">
        <v>1842</v>
      </c>
      <c r="C53" t="s">
        <v>1751</v>
      </c>
      <c r="D53" s="8">
        <v>4</v>
      </c>
      <c r="E53" s="9">
        <v>1219.22</v>
      </c>
      <c r="F53" s="8">
        <v>174</v>
      </c>
      <c r="G53" s="10"/>
      <c r="H53" s="9" t="str">
        <f>IF(G53="","",E53*G53)</f>
        <v/>
      </c>
      <c r="I53" s="11" t="str">
        <f>HYPERLINK("https://optomposuda.ru/product/blyudo-ledyanoy-cvetok-serebro-22-sm","открыть")</f>
        <v>открыть</v>
      </c>
    </row>
    <row r="54" spans="1:9" x14ac:dyDescent="0.25">
      <c r="A54" t="s">
        <v>1843</v>
      </c>
      <c r="B54" t="s">
        <v>1844</v>
      </c>
      <c r="C54" t="s">
        <v>1751</v>
      </c>
      <c r="D54" s="8">
        <v>1</v>
      </c>
      <c r="E54" s="9">
        <v>849.2</v>
      </c>
      <c r="F54" s="8">
        <v>113</v>
      </c>
      <c r="G54" s="10"/>
      <c r="H54" s="9" t="str">
        <f>IF(G54="","",E54*G54)</f>
        <v/>
      </c>
      <c r="I54" s="11" t="str">
        <f>HYPERLINK("https://optomposuda.ru/product/blyudo-lesnoe-chudo-30-sm-art-15432","открыть")</f>
        <v>открыть</v>
      </c>
    </row>
    <row r="55" spans="1:9" x14ac:dyDescent="0.25">
      <c r="A55" t="s">
        <v>1845</v>
      </c>
      <c r="B55" t="s">
        <v>1846</v>
      </c>
      <c r="C55" t="s">
        <v>1751</v>
      </c>
      <c r="D55" s="8">
        <v>4</v>
      </c>
      <c r="E55" s="9">
        <v>661.46</v>
      </c>
      <c r="F55" s="8">
        <v>79</v>
      </c>
      <c r="G55" s="10"/>
      <c r="H55" s="9" t="str">
        <f>IF(G55="","",E55*G55)</f>
        <v/>
      </c>
      <c r="I55" s="11" t="str">
        <f>HYPERLINK("https://optomposuda.ru/product/blyudo-lunnyy-bosfor-30sm-15906-v","открыть")</f>
        <v>открыть</v>
      </c>
    </row>
    <row r="56" spans="1:9" x14ac:dyDescent="0.25">
      <c r="A56" t="s">
        <v>1847</v>
      </c>
      <c r="B56" t="s">
        <v>1848</v>
      </c>
      <c r="C56" t="s">
        <v>1751</v>
      </c>
      <c r="D56" s="8">
        <v>16</v>
      </c>
      <c r="E56" s="9">
        <v>595.31</v>
      </c>
      <c r="F56" s="8">
        <v>233</v>
      </c>
      <c r="G56" s="10"/>
      <c r="H56" s="9" t="str">
        <f>IF(G56="","",E56*G56)</f>
        <v/>
      </c>
      <c r="I56" s="11" t="str">
        <f>HYPERLINK("https://optomposuda.ru/product/blyudo-mayya-17sm-15911-s","открыть")</f>
        <v>открыть</v>
      </c>
    </row>
    <row r="57" spans="1:9" x14ac:dyDescent="0.25">
      <c r="A57" t="s">
        <v>1849</v>
      </c>
      <c r="B57" t="s">
        <v>1850</v>
      </c>
      <c r="C57" t="s">
        <v>1751</v>
      </c>
      <c r="D57" s="8">
        <v>6</v>
      </c>
      <c r="E57" s="9">
        <v>948.09</v>
      </c>
      <c r="F57" s="8">
        <v>260</v>
      </c>
      <c r="G57" s="10"/>
      <c r="H57" s="9" t="str">
        <f>IF(G57="","",E57*G57)</f>
        <v/>
      </c>
      <c r="I57" s="11" t="str">
        <f>HYPERLINK("https://optomposuda.ru/product/blyudo-mayya-24sm-15912-s","открыть")</f>
        <v>открыть</v>
      </c>
    </row>
    <row r="58" spans="1:9" x14ac:dyDescent="0.25">
      <c r="A58" t="s">
        <v>1851</v>
      </c>
      <c r="B58" t="s">
        <v>1852</v>
      </c>
      <c r="C58" t="s">
        <v>1751</v>
      </c>
      <c r="D58" s="8">
        <v>6</v>
      </c>
      <c r="E58" s="9">
        <v>992.19</v>
      </c>
      <c r="F58" s="8">
        <v>276</v>
      </c>
      <c r="G58" s="10"/>
      <c r="H58" s="9" t="str">
        <f>IF(G58="","",E58*G58)</f>
        <v/>
      </c>
      <c r="I58" s="11" t="str">
        <f>HYPERLINK("https://optomposuda.ru/product/blyudo-mayya-28sm-15913-s","открыть")</f>
        <v>открыть</v>
      </c>
    </row>
    <row r="59" spans="1:9" x14ac:dyDescent="0.25">
      <c r="A59" t="s">
        <v>1853</v>
      </c>
      <c r="B59" t="s">
        <v>1854</v>
      </c>
      <c r="C59" t="s">
        <v>1751</v>
      </c>
      <c r="D59" s="8">
        <v>4</v>
      </c>
      <c r="E59" s="9">
        <v>720.19</v>
      </c>
      <c r="F59" s="8">
        <v>1</v>
      </c>
      <c r="G59" s="10"/>
      <c r="H59" s="9" t="str">
        <f>IF(G59="","",E59*G59)</f>
        <v/>
      </c>
      <c r="I59" s="11" t="str">
        <f>HYPERLINK("https://optomposuda.ru/product/blyudo-mak-30sm-339-185","открыть")</f>
        <v>открыть</v>
      </c>
    </row>
    <row r="60" spans="1:9" x14ac:dyDescent="0.25">
      <c r="A60" t="s">
        <v>1855</v>
      </c>
      <c r="B60" t="s">
        <v>1856</v>
      </c>
      <c r="C60" t="s">
        <v>1751</v>
      </c>
      <c r="D60" s="8">
        <v>4</v>
      </c>
      <c r="E60" s="9">
        <v>682.08</v>
      </c>
      <c r="F60" s="8">
        <v>4</v>
      </c>
      <c r="G60" s="10"/>
      <c r="H60" s="9" t="str">
        <f>IF(G60="","",E60*G60)</f>
        <v/>
      </c>
      <c r="I60" s="11" t="str">
        <f>HYPERLINK("https://optomposuda.ru/product/blyudo-metelica-snezhnye-uzory-30-sm-krasnoe","открыть")</f>
        <v>открыть</v>
      </c>
    </row>
    <row r="61" spans="1:9" x14ac:dyDescent="0.25">
      <c r="A61" t="s">
        <v>1857</v>
      </c>
      <c r="B61" t="s">
        <v>1858</v>
      </c>
      <c r="C61" t="s">
        <v>1751</v>
      </c>
      <c r="D61" s="8">
        <v>6</v>
      </c>
      <c r="E61" s="9">
        <v>1080.27</v>
      </c>
      <c r="F61" s="8">
        <v>8</v>
      </c>
      <c r="G61" s="10"/>
      <c r="H61" s="9" t="str">
        <f>IF(G61="","",E61*G61)</f>
        <v/>
      </c>
      <c r="I61" s="11" t="str">
        <f>HYPERLINK("https://optomposuda.ru/product/blyudo-metel-32-sm","открыть")</f>
        <v>открыть</v>
      </c>
    </row>
    <row r="62" spans="1:9" x14ac:dyDescent="0.25">
      <c r="A62" t="s">
        <v>1859</v>
      </c>
      <c r="B62" t="s">
        <v>1860</v>
      </c>
      <c r="C62" t="s">
        <v>1751</v>
      </c>
      <c r="D62" s="8">
        <v>6</v>
      </c>
      <c r="E62" s="9">
        <v>383.65</v>
      </c>
      <c r="F62" s="8">
        <v>3449</v>
      </c>
      <c r="G62" s="10"/>
      <c r="H62" s="9" t="str">
        <f>IF(G62="","",E62*G62)</f>
        <v/>
      </c>
      <c r="I62" s="11" t="str">
        <f>HYPERLINK("https://optomposuda.ru/product/blyudo-mirazh-bordo-32-sm","открыть")</f>
        <v>открыть</v>
      </c>
    </row>
    <row r="63" spans="1:9" x14ac:dyDescent="0.25">
      <c r="A63" t="s">
        <v>1861</v>
      </c>
      <c r="B63" t="s">
        <v>1862</v>
      </c>
      <c r="C63" t="s">
        <v>1751</v>
      </c>
      <c r="D63" s="8">
        <v>6</v>
      </c>
      <c r="E63" s="9">
        <v>383.65</v>
      </c>
      <c r="F63" s="8">
        <v>3809</v>
      </c>
      <c r="G63" s="10"/>
      <c r="H63" s="9" t="str">
        <f>IF(G63="","",E63*G63)</f>
        <v/>
      </c>
      <c r="I63" s="11" t="str">
        <f>HYPERLINK("https://optomposuda.ru/product/blyudo-mirazh-shampan-32-sm","открыть")</f>
        <v>открыть</v>
      </c>
    </row>
    <row r="64" spans="1:9" x14ac:dyDescent="0.25">
      <c r="A64" t="s">
        <v>1863</v>
      </c>
      <c r="B64" t="s">
        <v>1864</v>
      </c>
      <c r="C64" t="s">
        <v>1751</v>
      </c>
      <c r="D64" s="8">
        <v>4</v>
      </c>
      <c r="E64" s="9">
        <v>656.01</v>
      </c>
      <c r="F64" s="8">
        <v>1</v>
      </c>
      <c r="G64" s="10"/>
      <c r="H64" s="9" t="str">
        <f>IF(G64="","",E64*G64)</f>
        <v/>
      </c>
      <c r="I64" s="11" t="str">
        <f>HYPERLINK("https://optomposuda.ru/product/blyudo-novogodnie-shary-30-sm-sinie","открыть")</f>
        <v>открыть</v>
      </c>
    </row>
    <row r="65" spans="1:9" x14ac:dyDescent="0.25">
      <c r="A65" t="s">
        <v>1865</v>
      </c>
      <c r="B65" t="s">
        <v>1866</v>
      </c>
      <c r="C65" t="s">
        <v>1751</v>
      </c>
      <c r="D65" s="8">
        <v>4</v>
      </c>
      <c r="E65" s="9">
        <v>917.9</v>
      </c>
      <c r="F65" s="8">
        <v>75</v>
      </c>
      <c r="G65" s="10"/>
      <c r="H65" s="9" t="str">
        <f>IF(G65="","",E65*G65)</f>
        <v/>
      </c>
      <c r="I65" s="11" t="str">
        <f>HYPERLINK("https://optomposuda.ru/product/blyudo-novogodniy-karnaval-30-sm","открыть")</f>
        <v>открыть</v>
      </c>
    </row>
    <row r="66" spans="1:9" x14ac:dyDescent="0.25">
      <c r="A66" t="s">
        <v>1867</v>
      </c>
      <c r="B66" t="s">
        <v>1868</v>
      </c>
      <c r="C66" t="s">
        <v>1751</v>
      </c>
      <c r="D66" s="8">
        <v>6</v>
      </c>
      <c r="E66" s="9">
        <v>846.91</v>
      </c>
      <c r="F66" s="8">
        <v>211</v>
      </c>
      <c r="G66" s="10"/>
      <c r="H66" s="9" t="str">
        <f>IF(G66="","",E66*G66)</f>
        <v/>
      </c>
      <c r="I66" s="11" t="str">
        <f>HYPERLINK("https://optomposuda.ru/product/blyudo-novogodnyaya-skazka-28-sm-zelenaya","открыть")</f>
        <v>открыть</v>
      </c>
    </row>
    <row r="67" spans="1:9" x14ac:dyDescent="0.25">
      <c r="A67" t="s">
        <v>1869</v>
      </c>
      <c r="B67" t="s">
        <v>1870</v>
      </c>
      <c r="C67" t="s">
        <v>1751</v>
      </c>
      <c r="D67" s="8">
        <v>6</v>
      </c>
      <c r="E67" s="9">
        <v>846.91</v>
      </c>
      <c r="F67" s="8">
        <v>158</v>
      </c>
      <c r="G67" s="10"/>
      <c r="H67" s="9" t="str">
        <f>IF(G67="","",E67*G67)</f>
        <v/>
      </c>
      <c r="I67" s="11" t="str">
        <f>HYPERLINK("https://optomposuda.ru/product/blyudo-novogodnyaya-skazka-28-sm-krasnaya","открыть")</f>
        <v>открыть</v>
      </c>
    </row>
    <row r="68" spans="1:9" x14ac:dyDescent="0.25">
      <c r="A68" t="s">
        <v>1871</v>
      </c>
      <c r="B68" t="s">
        <v>1872</v>
      </c>
      <c r="C68" t="s">
        <v>1751</v>
      </c>
      <c r="D68" s="8">
        <v>6</v>
      </c>
      <c r="E68" s="9">
        <v>1080.27</v>
      </c>
      <c r="F68" s="8">
        <v>350</v>
      </c>
      <c r="G68" s="10"/>
      <c r="H68" s="9" t="str">
        <f>IF(G68="","",E68*G68)</f>
        <v/>
      </c>
      <c r="I68" s="11" t="str">
        <f>HYPERLINK("https://optomposuda.ru/product/blyudo-novogodnyaya-skazka-32-sm-zelenaya","открыть")</f>
        <v>открыть</v>
      </c>
    </row>
    <row r="69" spans="1:9" x14ac:dyDescent="0.25">
      <c r="A69" t="s">
        <v>1873</v>
      </c>
      <c r="B69" t="s">
        <v>1874</v>
      </c>
      <c r="C69" t="s">
        <v>1751</v>
      </c>
      <c r="D69" s="8">
        <v>6</v>
      </c>
      <c r="E69" s="9">
        <v>1080.27</v>
      </c>
      <c r="F69" s="8">
        <v>232</v>
      </c>
      <c r="G69" s="10"/>
      <c r="H69" s="9" t="str">
        <f>IF(G69="","",E69*G69)</f>
        <v/>
      </c>
      <c r="I69" s="11" t="str">
        <f>HYPERLINK("https://optomposuda.ru/product/blyudo-novogodnyaya-skazka-32-sm-krasnaya","открыть")</f>
        <v>открыть</v>
      </c>
    </row>
    <row r="70" spans="1:9" x14ac:dyDescent="0.25">
      <c r="A70" t="s">
        <v>1875</v>
      </c>
      <c r="B70" t="s">
        <v>1876</v>
      </c>
      <c r="C70" t="s">
        <v>1751</v>
      </c>
      <c r="D70" s="8">
        <v>4</v>
      </c>
      <c r="E70" s="9">
        <v>749.17</v>
      </c>
      <c r="F70" s="8">
        <v>124</v>
      </c>
      <c r="G70" s="10"/>
      <c r="H70" s="9" t="str">
        <f>IF(G70="","",E70*G70)</f>
        <v/>
      </c>
      <c r="I70" s="11" t="str">
        <f>HYPERLINK("https://optomposuda.ru/product/blyudo-peysli-antracit-30sm-15796-1","открыть")</f>
        <v>открыть</v>
      </c>
    </row>
    <row r="71" spans="1:9" x14ac:dyDescent="0.25">
      <c r="A71" t="s">
        <v>1877</v>
      </c>
      <c r="B71" t="s">
        <v>1878</v>
      </c>
      <c r="C71" t="s">
        <v>1751</v>
      </c>
      <c r="D71" s="8">
        <v>4</v>
      </c>
      <c r="E71" s="9">
        <v>760.24</v>
      </c>
      <c r="F71" s="8">
        <v>29</v>
      </c>
      <c r="G71" s="10"/>
      <c r="H71" s="9" t="str">
        <f>IF(G71="","",E71*G71)</f>
        <v/>
      </c>
      <c r="I71" s="11" t="str">
        <f>HYPERLINK("https://optomposuda.ru/product/blyudo-rivera-bronza-30sm-15741-2","открыть")</f>
        <v>открыть</v>
      </c>
    </row>
    <row r="72" spans="1:9" x14ac:dyDescent="0.25">
      <c r="A72" t="s">
        <v>1879</v>
      </c>
      <c r="B72" t="s">
        <v>1880</v>
      </c>
      <c r="C72" t="s">
        <v>1751</v>
      </c>
      <c r="D72" s="8">
        <v>4</v>
      </c>
      <c r="E72" s="9">
        <v>693.83</v>
      </c>
      <c r="F72" s="8">
        <v>4</v>
      </c>
      <c r="G72" s="10"/>
      <c r="H72" s="9" t="str">
        <f>IF(G72="","",E72*G72)</f>
        <v/>
      </c>
      <c r="I72" s="11" t="str">
        <f>HYPERLINK("https://optomposuda.ru/product/blyudo-rivera-zhemchug-30sm-15741-1","открыть")</f>
        <v>открыть</v>
      </c>
    </row>
    <row r="73" spans="1:9" x14ac:dyDescent="0.25">
      <c r="A73" t="s">
        <v>1881</v>
      </c>
      <c r="B73" t="s">
        <v>1882</v>
      </c>
      <c r="C73" t="s">
        <v>1751</v>
      </c>
      <c r="D73" s="8">
        <v>36</v>
      </c>
      <c r="E73" s="9">
        <v>283.48</v>
      </c>
      <c r="F73" s="8">
        <v>260</v>
      </c>
      <c r="G73" s="10"/>
      <c r="H73" s="9" t="str">
        <f>IF(G73="","",E73*G73)</f>
        <v/>
      </c>
      <c r="I73" s="11" t="str">
        <f>HYPERLINK("https://optomposuda.ru/product/blyudo-serdce-15-sm-zolotoe","открыть")</f>
        <v>открыть</v>
      </c>
    </row>
    <row r="74" spans="1:9" x14ac:dyDescent="0.25">
      <c r="A74" t="s">
        <v>1883</v>
      </c>
      <c r="B74" t="s">
        <v>1884</v>
      </c>
      <c r="C74" t="s">
        <v>1751</v>
      </c>
      <c r="D74" s="8">
        <v>36</v>
      </c>
      <c r="E74" s="9">
        <v>283.48</v>
      </c>
      <c r="F74" s="8">
        <v>248</v>
      </c>
      <c r="G74" s="10"/>
      <c r="H74" s="9" t="str">
        <f>IF(G74="","",E74*G74)</f>
        <v/>
      </c>
      <c r="I74" s="11" t="str">
        <f>HYPERLINK("https://optomposuda.ru/product/blyudo-serdce-15-sm-krasnoe","открыть")</f>
        <v>открыть</v>
      </c>
    </row>
    <row r="75" spans="1:9" x14ac:dyDescent="0.25">
      <c r="A75" t="s">
        <v>1885</v>
      </c>
      <c r="B75" t="s">
        <v>1886</v>
      </c>
      <c r="C75" t="s">
        <v>1751</v>
      </c>
      <c r="D75" s="8">
        <v>36</v>
      </c>
      <c r="E75" s="9">
        <v>283.48</v>
      </c>
      <c r="F75" s="8">
        <v>296</v>
      </c>
      <c r="G75" s="10"/>
      <c r="H75" s="9" t="str">
        <f>IF(G75="","",E75*G75)</f>
        <v/>
      </c>
      <c r="I75" s="11" t="str">
        <f>HYPERLINK("https://optomposuda.ru/product/blyudo-serdce-15-sm-rozovoe","открыть")</f>
        <v>открыть</v>
      </c>
    </row>
    <row r="76" spans="1:9" x14ac:dyDescent="0.25">
      <c r="A76" t="s">
        <v>1887</v>
      </c>
      <c r="B76" t="s">
        <v>1888</v>
      </c>
      <c r="C76" t="s">
        <v>1751</v>
      </c>
      <c r="D76" s="8">
        <v>16</v>
      </c>
      <c r="E76" s="9">
        <v>278.35</v>
      </c>
      <c r="F76" s="8">
        <v>208</v>
      </c>
      <c r="G76" s="10"/>
      <c r="H76" s="9" t="str">
        <f>IF(G76="","",E76*G76)</f>
        <v/>
      </c>
      <c r="I76" s="11" t="str">
        <f>HYPERLINK("https://optomposuda.ru/product/blyudo-sladkiy-poceluy-17-sm-roza","открыть")</f>
        <v>открыть</v>
      </c>
    </row>
    <row r="77" spans="1:9" x14ac:dyDescent="0.25">
      <c r="A77" t="s">
        <v>1889</v>
      </c>
      <c r="B77" t="s">
        <v>1890</v>
      </c>
      <c r="C77" t="s">
        <v>1751</v>
      </c>
      <c r="D77" s="8">
        <v>6</v>
      </c>
      <c r="E77" s="9">
        <v>291.61</v>
      </c>
      <c r="F77" s="8">
        <v>211</v>
      </c>
      <c r="G77" s="10"/>
      <c r="H77" s="9" t="str">
        <f>IF(G77="","",E77*G77)</f>
        <v/>
      </c>
      <c r="I77" s="11" t="str">
        <f>HYPERLINK("https://optomposuda.ru/product/blyudo-sladkiy-poceluy-21-sm-zoloto","открыть")</f>
        <v>открыть</v>
      </c>
    </row>
    <row r="78" spans="1:9" x14ac:dyDescent="0.25">
      <c r="A78" t="s">
        <v>1891</v>
      </c>
      <c r="B78" t="s">
        <v>1892</v>
      </c>
      <c r="C78" t="s">
        <v>1751</v>
      </c>
      <c r="D78" s="8">
        <v>4</v>
      </c>
      <c r="E78" s="9">
        <v>521.45</v>
      </c>
      <c r="F78" s="8">
        <v>112</v>
      </c>
      <c r="G78" s="10"/>
      <c r="H78" s="9" t="str">
        <f>IF(G78="","",E78*G78)</f>
        <v/>
      </c>
      <c r="I78" s="11" t="str">
        <f>HYPERLINK("https://optomposuda.ru/product/blyudo-utrenniy-bosfor-30sm-15906-g","открыть")</f>
        <v>открыть</v>
      </c>
    </row>
    <row r="79" spans="1:9" x14ac:dyDescent="0.25">
      <c r="A79" t="s">
        <v>1893</v>
      </c>
      <c r="B79" t="s">
        <v>1894</v>
      </c>
      <c r="C79" t="s">
        <v>1751</v>
      </c>
      <c r="D79" s="8">
        <v>6</v>
      </c>
      <c r="E79" s="9">
        <v>734.39</v>
      </c>
      <c r="F79" s="8">
        <v>155</v>
      </c>
      <c r="G79" s="10"/>
      <c r="H79" s="9" t="str">
        <f>IF(G79="","",E79*G79)</f>
        <v/>
      </c>
      <c r="I79" s="11" t="str">
        <f>HYPERLINK("https://optomposuda.ru/product/blyudo-feyerverk-28-cm-krasnoe","открыть")</f>
        <v>открыть</v>
      </c>
    </row>
    <row r="80" spans="1:9" x14ac:dyDescent="0.25">
      <c r="A80" t="s">
        <v>1895</v>
      </c>
      <c r="B80" t="s">
        <v>1896</v>
      </c>
      <c r="C80" t="s">
        <v>1751</v>
      </c>
      <c r="D80" s="8">
        <v>6</v>
      </c>
      <c r="E80" s="9">
        <v>734.39</v>
      </c>
      <c r="F80" s="8">
        <v>104</v>
      </c>
      <c r="G80" s="10"/>
      <c r="H80" s="9" t="str">
        <f>IF(G80="","",E80*G80)</f>
        <v/>
      </c>
      <c r="I80" s="11" t="str">
        <f>HYPERLINK("https://optomposuda.ru/product/blyudo-feyerverk-28-cm-sinee","открыть")</f>
        <v>открыть</v>
      </c>
    </row>
    <row r="81" spans="1:9" x14ac:dyDescent="0.25">
      <c r="A81" t="s">
        <v>1897</v>
      </c>
      <c r="B81" t="s">
        <v>1898</v>
      </c>
      <c r="C81" t="s">
        <v>1751</v>
      </c>
      <c r="D81" s="8">
        <v>6</v>
      </c>
      <c r="E81" s="9">
        <v>734.39</v>
      </c>
      <c r="F81" s="8">
        <v>136</v>
      </c>
      <c r="G81" s="10"/>
      <c r="H81" s="9" t="str">
        <f>IF(G81="","",E81*G81)</f>
        <v/>
      </c>
      <c r="I81" s="11" t="str">
        <f>HYPERLINK("https://optomposuda.ru/product/blyudo-feyerverk-28-cm-shampan","открыть")</f>
        <v>открыть</v>
      </c>
    </row>
    <row r="82" spans="1:9" x14ac:dyDescent="0.25">
      <c r="A82" t="s">
        <v>1899</v>
      </c>
      <c r="B82" t="s">
        <v>1900</v>
      </c>
      <c r="C82" t="s">
        <v>1751</v>
      </c>
      <c r="D82" s="8">
        <v>12</v>
      </c>
      <c r="E82" s="9">
        <v>477.29</v>
      </c>
      <c r="F82" s="8">
        <v>306</v>
      </c>
      <c r="G82" s="10"/>
      <c r="H82" s="9" t="str">
        <f>IF(G82="","",E82*G82)</f>
        <v/>
      </c>
      <c r="I82" s="11" t="str">
        <f>HYPERLINK("https://optomposuda.ru/product/blyudo-shishka-16-cm","открыть")</f>
        <v>открыть</v>
      </c>
    </row>
    <row r="83" spans="1:9" x14ac:dyDescent="0.25">
      <c r="A83" t="s">
        <v>1901</v>
      </c>
      <c r="B83" t="s">
        <v>1902</v>
      </c>
      <c r="C83" t="s">
        <v>1751</v>
      </c>
      <c r="D83" s="8">
        <v>12</v>
      </c>
      <c r="E83" s="9">
        <v>262.81</v>
      </c>
      <c r="F83" s="8">
        <v>393</v>
      </c>
      <c r="G83" s="10"/>
      <c r="H83" s="9" t="str">
        <f>IF(G83="","",E83*G83)</f>
        <v/>
      </c>
      <c r="I83" s="11" t="str">
        <f>HYPERLINK("https://optomposuda.ru/product/blyudo-shishka-16-cm-zelenaya","открыть")</f>
        <v>открыть</v>
      </c>
    </row>
    <row r="84" spans="1:9" x14ac:dyDescent="0.25">
      <c r="A84" t="s">
        <v>1903</v>
      </c>
      <c r="B84" t="s">
        <v>1904</v>
      </c>
      <c r="C84" t="s">
        <v>1751</v>
      </c>
      <c r="D84" s="8">
        <v>12</v>
      </c>
      <c r="E84" s="9">
        <v>291.61</v>
      </c>
      <c r="F84" s="8">
        <v>1</v>
      </c>
      <c r="G84" s="10"/>
      <c r="H84" s="9" t="str">
        <f>IF(G84="","",E84*G84)</f>
        <v/>
      </c>
      <c r="I84" s="11" t="str">
        <f>HYPERLINK("https://optomposuda.ru/product/blyudo-shishka-16-cm-zolotaya","открыть")</f>
        <v>открыть</v>
      </c>
    </row>
    <row r="85" spans="1:9" x14ac:dyDescent="0.25">
      <c r="A85" t="s">
        <v>1905</v>
      </c>
      <c r="B85" t="s">
        <v>1906</v>
      </c>
      <c r="C85" t="s">
        <v>1751</v>
      </c>
      <c r="D85" s="8">
        <v>12</v>
      </c>
      <c r="E85" s="9">
        <v>361.19</v>
      </c>
      <c r="F85" s="8">
        <v>207</v>
      </c>
      <c r="G85" s="10"/>
      <c r="H85" s="9" t="str">
        <f>IF(G85="","",E85*G85)</f>
        <v/>
      </c>
      <c r="I85" s="11" t="str">
        <f>HYPERLINK("https://optomposuda.ru/product/blyudo-shishka-16-cm-shampan","открыть")</f>
        <v>открыть</v>
      </c>
    </row>
    <row r="86" spans="1:9" x14ac:dyDescent="0.25">
      <c r="A86" t="s">
        <v>1907</v>
      </c>
      <c r="B86" t="s">
        <v>1908</v>
      </c>
      <c r="C86" t="s">
        <v>1751</v>
      </c>
      <c r="D86" s="8">
        <v>6</v>
      </c>
      <c r="E86" s="9">
        <v>477.17</v>
      </c>
      <c r="F86" s="8">
        <v>80</v>
      </c>
      <c r="G86" s="10"/>
      <c r="H86" s="9" t="str">
        <f>IF(G86="","",E86*G86)</f>
        <v/>
      </c>
      <c r="I86" s="11" t="str">
        <f>HYPERLINK("https://optomposuda.ru/product/blyudo-shishka-24-cm","открыть")</f>
        <v>открыть</v>
      </c>
    </row>
    <row r="87" spans="1:9" x14ac:dyDescent="0.25">
      <c r="A87" t="s">
        <v>1909</v>
      </c>
      <c r="B87" t="s">
        <v>1910</v>
      </c>
      <c r="C87" t="s">
        <v>1751</v>
      </c>
      <c r="D87" s="8">
        <v>4</v>
      </c>
      <c r="E87" s="9">
        <v>749.17</v>
      </c>
      <c r="F87" s="8">
        <v>68</v>
      </c>
      <c r="G87" s="10"/>
      <c r="H87" s="9" t="str">
        <f>IF(G87="","",E87*G87)</f>
        <v/>
      </c>
      <c r="I87" s="11" t="str">
        <f>HYPERLINK("https://optomposuda.ru/product/blyudo-eleonora-bronza-30sm-15726-2","открыть")</f>
        <v>открыть</v>
      </c>
    </row>
    <row r="88" spans="1:9" x14ac:dyDescent="0.25">
      <c r="A88" t="s">
        <v>1911</v>
      </c>
      <c r="B88" t="s">
        <v>1912</v>
      </c>
      <c r="C88" t="s">
        <v>1751</v>
      </c>
      <c r="D88" s="8">
        <v>4</v>
      </c>
      <c r="E88" s="9">
        <v>749.17</v>
      </c>
      <c r="F88" s="8">
        <v>36</v>
      </c>
      <c r="G88" s="10"/>
      <c r="H88" s="9" t="str">
        <f>IF(G88="","",E88*G88)</f>
        <v/>
      </c>
      <c r="I88" s="11" t="str">
        <f>HYPERLINK("https://optomposuda.ru/product/blyudo-eleonora-patina-30sm-15726-1","открыть")</f>
        <v>открыть</v>
      </c>
    </row>
    <row r="89" spans="1:9" x14ac:dyDescent="0.25">
      <c r="A89" t="s">
        <v>1913</v>
      </c>
      <c r="B89" t="s">
        <v>1914</v>
      </c>
      <c r="C89" t="s">
        <v>1751</v>
      </c>
      <c r="D89" s="8">
        <v>4</v>
      </c>
      <c r="E89" s="9">
        <v>748.41</v>
      </c>
      <c r="F89" s="8">
        <v>11</v>
      </c>
      <c r="G89" s="10"/>
      <c r="H89" s="9" t="str">
        <f>IF(G89="","",E89*G89)</f>
        <v/>
      </c>
      <c r="I89" s="11" t="str">
        <f>HYPERLINK("https://optomposuda.ru/product/blyudo-elis-30-sm-alyy","открыть")</f>
        <v>открыть</v>
      </c>
    </row>
    <row r="90" spans="1:9" x14ac:dyDescent="0.25">
      <c r="A90" t="s">
        <v>1915</v>
      </c>
      <c r="B90" t="s">
        <v>1916</v>
      </c>
      <c r="C90" t="s">
        <v>1751</v>
      </c>
      <c r="D90" s="8">
        <v>4</v>
      </c>
      <c r="E90" s="9">
        <v>748.41</v>
      </c>
      <c r="F90" s="8">
        <v>106</v>
      </c>
      <c r="G90" s="10"/>
      <c r="H90" s="9" t="str">
        <f>IF(G90="","",E90*G90)</f>
        <v/>
      </c>
      <c r="I90" s="11" t="str">
        <f>HYPERLINK("https://optomposuda.ru/product/blyudo-elis-30-sm-zoloto","открыть")</f>
        <v>открыть</v>
      </c>
    </row>
    <row r="91" spans="1:9" x14ac:dyDescent="0.25">
      <c r="A91" t="s">
        <v>1917</v>
      </c>
      <c r="B91" t="s">
        <v>1918</v>
      </c>
      <c r="C91" t="s">
        <v>1751</v>
      </c>
      <c r="D91" s="8">
        <v>4</v>
      </c>
      <c r="E91" s="9">
        <v>748.41</v>
      </c>
      <c r="F91" s="8">
        <v>16</v>
      </c>
      <c r="G91" s="10"/>
      <c r="H91" s="9" t="str">
        <f>IF(G91="","",E91*G91)</f>
        <v/>
      </c>
      <c r="I91" s="11" t="str">
        <f>HYPERLINK("https://optomposuda.ru/product/blyudo-elis-30-sm-platina","открыть")</f>
        <v>открыть</v>
      </c>
    </row>
    <row r="92" spans="1:9" x14ac:dyDescent="0.25">
      <c r="A92" t="s">
        <v>1919</v>
      </c>
      <c r="B92" t="s">
        <v>1920</v>
      </c>
      <c r="C92" t="s">
        <v>1751</v>
      </c>
      <c r="D92" s="8">
        <v>6</v>
      </c>
      <c r="E92" s="9">
        <v>525.64</v>
      </c>
      <c r="F92" s="8">
        <v>345</v>
      </c>
      <c r="G92" s="10"/>
      <c r="H92" s="9" t="str">
        <f>IF(G92="","",E92*G92)</f>
        <v/>
      </c>
      <c r="I92" s="11" t="str">
        <f>HYPERLINK("https://optomposuda.ru/product/blyudo-galaxy-blue-21cm-15139-339-050","открыть")</f>
        <v>открыть</v>
      </c>
    </row>
    <row r="93" spans="1:9" x14ac:dyDescent="0.25">
      <c r="A93" t="s">
        <v>1921</v>
      </c>
      <c r="B93" t="s">
        <v>1922</v>
      </c>
      <c r="C93" t="s">
        <v>1751</v>
      </c>
      <c r="D93" s="8">
        <v>6</v>
      </c>
      <c r="E93" s="9">
        <v>1040.06</v>
      </c>
      <c r="F93" s="8">
        <v>23</v>
      </c>
      <c r="G93" s="10"/>
      <c r="H93" s="9" t="str">
        <f>IF(G93="","",E93*G93)</f>
        <v/>
      </c>
      <c r="I93" s="11" t="str">
        <f>HYPERLINK("https://optomposuda.ru/product/blyudo-galaxy-blue-30cm-15140-339-051","открыть")</f>
        <v>открыть</v>
      </c>
    </row>
    <row r="94" spans="1:9" x14ac:dyDescent="0.25">
      <c r="A94" t="s">
        <v>1923</v>
      </c>
      <c r="B94" t="s">
        <v>1924</v>
      </c>
      <c r="C94" t="s">
        <v>1751</v>
      </c>
      <c r="D94" s="8">
        <v>6</v>
      </c>
      <c r="E94" s="9">
        <v>525.64</v>
      </c>
      <c r="F94" s="8">
        <v>268</v>
      </c>
      <c r="G94" s="10"/>
      <c r="H94" s="9" t="str">
        <f>IF(G94="","",E94*G94)</f>
        <v/>
      </c>
      <c r="I94" s="11" t="str">
        <f>HYPERLINK("https://optomposuda.ru/product/blyudo-galaxy-brown-21cm-15139-339-052","открыть")</f>
        <v>открыть</v>
      </c>
    </row>
    <row r="95" spans="1:9" x14ac:dyDescent="0.25">
      <c r="A95" t="s">
        <v>1925</v>
      </c>
      <c r="B95" t="s">
        <v>1926</v>
      </c>
      <c r="C95" t="s">
        <v>1751</v>
      </c>
      <c r="D95" s="8">
        <v>6</v>
      </c>
      <c r="E95" s="9">
        <v>973.48</v>
      </c>
      <c r="F95" s="8">
        <v>102</v>
      </c>
      <c r="G95" s="10"/>
      <c r="H95" s="9" t="str">
        <f>IF(G95="","",E95*G95)</f>
        <v/>
      </c>
      <c r="I95" s="11" t="str">
        <f>HYPERLINK("https://optomposuda.ru/product/blyudo-galaxy-brown-30cm-15140-1-339-053","открыть")</f>
        <v>открыть</v>
      </c>
    </row>
    <row r="96" spans="1:9" x14ac:dyDescent="0.25">
      <c r="A96" t="s">
        <v>1927</v>
      </c>
      <c r="B96" t="s">
        <v>1928</v>
      </c>
      <c r="C96" t="s">
        <v>1751</v>
      </c>
      <c r="D96" s="8">
        <v>12</v>
      </c>
      <c r="E96" s="9">
        <v>312.74</v>
      </c>
      <c r="F96" s="8">
        <v>206</v>
      </c>
      <c r="G96" s="10"/>
      <c r="H96" s="9" t="str">
        <f>IF(G96="","",E96*G96)</f>
        <v/>
      </c>
      <c r="I96" s="11" t="str">
        <f>HYPERLINK("https://optomposuda.ru/product/blyudo-victoria-azzurro-16-sm","открыть")</f>
        <v>открыть</v>
      </c>
    </row>
    <row r="97" spans="1:9" x14ac:dyDescent="0.25">
      <c r="A97" t="s">
        <v>1929</v>
      </c>
      <c r="B97" t="s">
        <v>1930</v>
      </c>
      <c r="C97" t="s">
        <v>1751</v>
      </c>
      <c r="D97" s="8">
        <v>8</v>
      </c>
      <c r="E97" s="9">
        <v>378.88</v>
      </c>
      <c r="F97" s="8">
        <v>256</v>
      </c>
      <c r="G97" s="10"/>
      <c r="H97" s="9" t="str">
        <f>IF(G97="","",E97*G97)</f>
        <v/>
      </c>
      <c r="I97" s="11" t="str">
        <f>HYPERLINK("https://optomposuda.ru/product/blyudo-victoria-marrone-16-sm","открыть")</f>
        <v>открыть</v>
      </c>
    </row>
    <row r="98" spans="1:9" x14ac:dyDescent="0.25">
      <c r="A98" t="s">
        <v>1931</v>
      </c>
      <c r="B98" t="s">
        <v>1932</v>
      </c>
      <c r="C98" t="s">
        <v>1751</v>
      </c>
      <c r="D98" s="8">
        <v>12</v>
      </c>
      <c r="E98" s="9">
        <v>387.43</v>
      </c>
      <c r="F98" s="8">
        <v>309</v>
      </c>
      <c r="G98" s="10"/>
      <c r="H98" s="9" t="str">
        <f>IF(G98="","",E98*G98)</f>
        <v/>
      </c>
      <c r="I98" s="11" t="str">
        <f>HYPERLINK("https://optomposuda.ru/product/blyudo-victoria-regia-16-sm","открыть")</f>
        <v>открыть</v>
      </c>
    </row>
    <row r="99" spans="1:9" x14ac:dyDescent="0.25">
      <c r="A99" t="s">
        <v>1933</v>
      </c>
      <c r="B99" t="s">
        <v>1934</v>
      </c>
      <c r="C99" t="s">
        <v>1751</v>
      </c>
      <c r="D99" s="8">
        <v>40</v>
      </c>
      <c r="E99" s="9">
        <v>151.97</v>
      </c>
      <c r="F99" s="8">
        <v>182</v>
      </c>
      <c r="G99" s="10"/>
      <c r="H99" s="9" t="str">
        <f>IF(G99="","",E99*G99)</f>
        <v/>
      </c>
      <c r="I99" s="11" t="str">
        <f>HYPERLINK("https://optomposuda.ru/product/blyudo-16-sm-elka-11113","открыть")</f>
        <v>открыть</v>
      </c>
    </row>
    <row r="100" spans="1:9" x14ac:dyDescent="0.25">
      <c r="A100" t="s">
        <v>1935</v>
      </c>
      <c r="B100" t="s">
        <v>1936</v>
      </c>
      <c r="C100" t="s">
        <v>1751</v>
      </c>
      <c r="D100" s="8">
        <v>30</v>
      </c>
      <c r="E100" s="9">
        <v>124.06</v>
      </c>
      <c r="F100" s="8">
        <v>30</v>
      </c>
      <c r="G100" s="10"/>
      <c r="H100" s="9" t="str">
        <f>IF(G100="","",E100*G100)</f>
        <v/>
      </c>
      <c r="I100" s="11" t="str">
        <f>HYPERLINK("https://optomposuda.ru/product/blyudo-16-sm-novyy-god-16270","открыть")</f>
        <v>открыть</v>
      </c>
    </row>
    <row r="101" spans="1:9" x14ac:dyDescent="0.25">
      <c r="A101" t="s">
        <v>1937</v>
      </c>
      <c r="B101" t="s">
        <v>1938</v>
      </c>
      <c r="C101" t="s">
        <v>1751</v>
      </c>
      <c r="D101" s="8">
        <v>24</v>
      </c>
      <c r="E101" s="9">
        <v>253.75</v>
      </c>
      <c r="F101" s="8">
        <v>307</v>
      </c>
      <c r="G101" s="10"/>
      <c r="H101" s="9" t="str">
        <f>IF(G101="","",E101*G101)</f>
        <v/>
      </c>
      <c r="I101" s="11" t="str">
        <f>HYPERLINK("https://optomposuda.ru/product/blyudo-17-sm-listopad-19099-gb","открыть")</f>
        <v>открыть</v>
      </c>
    </row>
    <row r="102" spans="1:9" x14ac:dyDescent="0.25">
      <c r="A102" t="s">
        <v>1939</v>
      </c>
      <c r="B102" t="s">
        <v>1940</v>
      </c>
      <c r="C102" t="s">
        <v>1751</v>
      </c>
      <c r="D102" s="8">
        <v>6</v>
      </c>
      <c r="E102" s="9">
        <v>195.4</v>
      </c>
      <c r="F102" s="8">
        <v>9</v>
      </c>
      <c r="G102" s="10"/>
      <c r="H102" s="9" t="str">
        <f>IF(G102="","",E102*G102)</f>
        <v/>
      </c>
      <c r="I102" s="11" t="str">
        <f>HYPERLINK("https://optomposuda.ru/product/blyudo-21-sm-elka-11111","открыть")</f>
        <v>открыть</v>
      </c>
    </row>
    <row r="103" spans="1:9" x14ac:dyDescent="0.25">
      <c r="A103" t="s">
        <v>1941</v>
      </c>
      <c r="B103" t="s">
        <v>1942</v>
      </c>
      <c r="C103" t="s">
        <v>1751</v>
      </c>
      <c r="D103" s="8">
        <v>6</v>
      </c>
      <c r="E103" s="9">
        <v>286.98</v>
      </c>
      <c r="F103" s="8">
        <v>366</v>
      </c>
      <c r="G103" s="10"/>
      <c r="H103" s="9" t="str">
        <f>IF(G103="","",E103*G103)</f>
        <v/>
      </c>
      <c r="I103" s="11" t="str">
        <f>HYPERLINK("https://optomposuda.ru/product/blyudo-21-sm-zolotoy-kashtan-15918-g","открыть")</f>
        <v>открыть</v>
      </c>
    </row>
    <row r="104" spans="1:9" x14ac:dyDescent="0.25">
      <c r="A104" t="s">
        <v>1943</v>
      </c>
      <c r="B104" t="s">
        <v>1944</v>
      </c>
      <c r="C104" t="s">
        <v>1751</v>
      </c>
      <c r="D104" s="8">
        <v>6</v>
      </c>
      <c r="E104" s="9">
        <v>320.89</v>
      </c>
      <c r="F104" s="8">
        <v>378</v>
      </c>
      <c r="G104" s="10"/>
      <c r="H104" s="9" t="str">
        <f>IF(G104="","",E104*G104)</f>
        <v/>
      </c>
      <c r="I104" s="11" t="str">
        <f>HYPERLINK("https://optomposuda.ru/product/blyudo-21-sm-mirazh-15253-t","открыть")</f>
        <v>открыть</v>
      </c>
    </row>
    <row r="105" spans="1:9" x14ac:dyDescent="0.25">
      <c r="A105" t="s">
        <v>1945</v>
      </c>
      <c r="B105" t="s">
        <v>1946</v>
      </c>
      <c r="C105" t="s">
        <v>1751</v>
      </c>
      <c r="D105" s="8">
        <v>24</v>
      </c>
      <c r="E105" s="9">
        <v>364.02</v>
      </c>
      <c r="F105" s="8">
        <v>479</v>
      </c>
      <c r="G105" s="10"/>
      <c r="H105" s="9" t="str">
        <f>IF(G105="","",E105*G105)</f>
        <v/>
      </c>
      <c r="I105" s="11" t="str">
        <f>HYPERLINK("https://optomposuda.ru/product/blyudo-21-sm-osenniy-list-zelenyy-16314-yg","открыть")</f>
        <v>открыть</v>
      </c>
    </row>
    <row r="106" spans="1:9" x14ac:dyDescent="0.25">
      <c r="A106" t="s">
        <v>1947</v>
      </c>
      <c r="B106" t="s">
        <v>1948</v>
      </c>
      <c r="C106" t="s">
        <v>1751</v>
      </c>
      <c r="D106" s="8">
        <v>24</v>
      </c>
      <c r="E106" s="9">
        <v>364.02</v>
      </c>
      <c r="F106" s="8">
        <v>261</v>
      </c>
      <c r="G106" s="10"/>
      <c r="H106" s="9" t="str">
        <f>IF(G106="","",E106*G106)</f>
        <v/>
      </c>
      <c r="I106" s="11" t="str">
        <f>HYPERLINK("https://optomposuda.ru/product/blyudo-21-sm-osenniy-list-yantarnyy-16314-yo","открыть")</f>
        <v>открыть</v>
      </c>
    </row>
    <row r="107" spans="1:9" x14ac:dyDescent="0.25">
      <c r="A107" t="s">
        <v>1949</v>
      </c>
      <c r="B107" t="s">
        <v>1950</v>
      </c>
      <c r="C107" t="s">
        <v>1751</v>
      </c>
      <c r="D107" s="8">
        <v>8</v>
      </c>
      <c r="E107" s="9">
        <v>303.95</v>
      </c>
      <c r="F107" s="8">
        <v>264</v>
      </c>
      <c r="G107" s="10"/>
      <c r="H107" s="9" t="str">
        <f>IF(G107="","",E107*G107)</f>
        <v/>
      </c>
      <c r="I107" s="11" t="str">
        <f>HYPERLINK("https://optomposuda.ru/product/blyudo-21-sm-flora-18135-gr","открыть")</f>
        <v>открыть</v>
      </c>
    </row>
    <row r="108" spans="1:9" x14ac:dyDescent="0.25">
      <c r="A108" t="s">
        <v>1951</v>
      </c>
      <c r="B108" t="s">
        <v>1952</v>
      </c>
      <c r="C108" t="s">
        <v>1751</v>
      </c>
      <c r="D108" s="8">
        <v>8</v>
      </c>
      <c r="E108" s="9">
        <v>270.51</v>
      </c>
      <c r="F108" s="8">
        <v>1</v>
      </c>
      <c r="G108" s="10"/>
      <c r="H108" s="9" t="str">
        <f>IF(G108="","",E108*G108)</f>
        <v/>
      </c>
      <c r="I108" s="11" t="str">
        <f>HYPERLINK("https://optomposuda.ru/product/blyudo-21-cm-morskaya-zvezda-korichnevaya","открыть")</f>
        <v>открыть</v>
      </c>
    </row>
    <row r="109" spans="1:9" x14ac:dyDescent="0.25">
      <c r="A109" t="s">
        <v>1953</v>
      </c>
      <c r="B109" t="s">
        <v>1954</v>
      </c>
      <c r="C109" t="s">
        <v>1751</v>
      </c>
      <c r="D109" s="8">
        <v>6</v>
      </c>
      <c r="E109" s="9">
        <v>303.95</v>
      </c>
      <c r="F109" s="8">
        <v>402</v>
      </c>
      <c r="G109" s="10"/>
      <c r="H109" s="9" t="str">
        <f>IF(G109="","",E109*G109)</f>
        <v/>
      </c>
      <c r="I109" s="11" t="str">
        <f>HYPERLINK("https://optomposuda.ru/product/blyudo-22-sm-listopad-19085-vg","открыть")</f>
        <v>открыть</v>
      </c>
    </row>
    <row r="110" spans="1:9" x14ac:dyDescent="0.25">
      <c r="A110" t="s">
        <v>1955</v>
      </c>
      <c r="B110" t="s">
        <v>1956</v>
      </c>
      <c r="C110" t="s">
        <v>1751</v>
      </c>
      <c r="D110" s="8">
        <v>6</v>
      </c>
      <c r="E110" s="9">
        <v>470.63</v>
      </c>
      <c r="F110" s="8">
        <v>414</v>
      </c>
      <c r="G110" s="10"/>
      <c r="H110" s="9" t="str">
        <f>IF(G110="","",E110*G110)</f>
        <v/>
      </c>
      <c r="I110" s="11" t="str">
        <f>HYPERLINK("https://optomposuda.ru/product/blyudo-23-cm-podvodnyy-mir-belyy","открыть")</f>
        <v>открыть</v>
      </c>
    </row>
    <row r="111" spans="1:9" x14ac:dyDescent="0.25">
      <c r="A111" t="s">
        <v>1957</v>
      </c>
      <c r="B111" t="s">
        <v>1958</v>
      </c>
      <c r="C111" t="s">
        <v>1751</v>
      </c>
      <c r="D111" s="8">
        <v>6</v>
      </c>
      <c r="E111" s="9">
        <v>430.35</v>
      </c>
      <c r="F111" s="8">
        <v>224</v>
      </c>
      <c r="G111" s="10"/>
      <c r="H111" s="9" t="str">
        <f>IF(G111="","",E111*G111)</f>
        <v/>
      </c>
      <c r="I111" s="11" t="str">
        <f>HYPERLINK("https://optomposuda.ru/product/blyudo-23-cm-podvodnyy-mir-korichnevyy","открыть")</f>
        <v>открыть</v>
      </c>
    </row>
    <row r="112" spans="1:9" x14ac:dyDescent="0.25">
      <c r="A112" t="s">
        <v>1959</v>
      </c>
      <c r="B112" t="s">
        <v>1960</v>
      </c>
      <c r="C112" t="s">
        <v>1751</v>
      </c>
      <c r="D112" s="8">
        <v>4</v>
      </c>
      <c r="E112" s="9">
        <v>511.75</v>
      </c>
      <c r="F112" s="8">
        <v>359</v>
      </c>
      <c r="G112" s="10"/>
      <c r="H112" s="9" t="str">
        <f>IF(G112="","",E112*G112)</f>
        <v/>
      </c>
      <c r="I112" s="11" t="str">
        <f>HYPERLINK("https://optomposuda.ru/product/blyudo-25-sm-flora-18136-gr","открыть")</f>
        <v>открыть</v>
      </c>
    </row>
    <row r="113" spans="1:9" x14ac:dyDescent="0.25">
      <c r="A113" t="s">
        <v>1961</v>
      </c>
      <c r="B113" t="s">
        <v>1962</v>
      </c>
      <c r="C113" t="s">
        <v>1751</v>
      </c>
      <c r="D113" s="8">
        <v>6</v>
      </c>
      <c r="E113" s="9">
        <v>499.35</v>
      </c>
      <c r="F113" s="8">
        <v>334</v>
      </c>
      <c r="G113" s="10"/>
      <c r="H113" s="9" t="str">
        <f>IF(G113="","",E113*G113)</f>
        <v/>
      </c>
      <c r="I113" s="11" t="str">
        <f>HYPERLINK("https://optomposuda.ru/product/blyudo-26-sm-zolotoy-kashtan-15919-g","открыть")</f>
        <v>открыть</v>
      </c>
    </row>
    <row r="114" spans="1:9" x14ac:dyDescent="0.25">
      <c r="A114" t="s">
        <v>1963</v>
      </c>
      <c r="B114" t="s">
        <v>1964</v>
      </c>
      <c r="C114" t="s">
        <v>1751</v>
      </c>
      <c r="D114" s="8">
        <v>6</v>
      </c>
      <c r="E114" s="9">
        <v>1107.92</v>
      </c>
      <c r="F114" s="8">
        <v>253</v>
      </c>
      <c r="G114" s="10"/>
      <c r="H114" s="9" t="str">
        <f>IF(G114="","",E114*G114)</f>
        <v/>
      </c>
      <c r="I114" s="11" t="str">
        <f>HYPERLINK("https://optomposuda.ru/product/blyudo-28-sm-gelios","открыть")</f>
        <v>открыть</v>
      </c>
    </row>
    <row r="115" spans="1:9" x14ac:dyDescent="0.25">
      <c r="A115" t="s">
        <v>1965</v>
      </c>
      <c r="B115" t="s">
        <v>1966</v>
      </c>
      <c r="C115" t="s">
        <v>1751</v>
      </c>
      <c r="D115" s="8">
        <v>6</v>
      </c>
      <c r="E115" s="9">
        <v>1197.82</v>
      </c>
      <c r="F115" s="8">
        <v>210</v>
      </c>
      <c r="G115" s="10"/>
      <c r="H115" s="9" t="str">
        <f>IF(G115="","",E115*G115)</f>
        <v/>
      </c>
      <c r="I115" s="11" t="str">
        <f>HYPERLINK("https://optomposuda.ru/product/blyudo-28-sm-lunnyy-svet","открыть")</f>
        <v>открыть</v>
      </c>
    </row>
    <row r="116" spans="1:9" x14ac:dyDescent="0.25">
      <c r="A116" t="s">
        <v>1967</v>
      </c>
      <c r="B116" t="s">
        <v>1968</v>
      </c>
      <c r="C116" t="s">
        <v>1751</v>
      </c>
      <c r="D116" s="8">
        <v>6</v>
      </c>
      <c r="E116" s="9">
        <v>585.27</v>
      </c>
      <c r="F116" s="8">
        <v>325</v>
      </c>
      <c r="G116" s="10"/>
      <c r="H116" s="9" t="str">
        <f>IF(G116="","",E116*G116)</f>
        <v/>
      </c>
      <c r="I116" s="11" t="str">
        <f>HYPERLINK("https://optomposuda.ru/product/blyudo-28-sm-osenniy-list-zelenyy-16315-yg","открыть")</f>
        <v>открыть</v>
      </c>
    </row>
    <row r="117" spans="1:9" x14ac:dyDescent="0.25">
      <c r="A117" t="s">
        <v>1969</v>
      </c>
      <c r="B117" t="s">
        <v>1970</v>
      </c>
      <c r="C117" t="s">
        <v>1751</v>
      </c>
      <c r="D117" s="8">
        <v>6</v>
      </c>
      <c r="E117" s="9">
        <v>585.27</v>
      </c>
      <c r="F117" s="8">
        <v>186</v>
      </c>
      <c r="G117" s="10"/>
      <c r="H117" s="9" t="str">
        <f>IF(G117="","",E117*G117)</f>
        <v/>
      </c>
      <c r="I117" s="11" t="str">
        <f>HYPERLINK("https://optomposuda.ru/product/blyudo-28-sm-osenniy-list-yantarnyy-16315-yo","открыть")</f>
        <v>открыть</v>
      </c>
    </row>
    <row r="118" spans="1:9" x14ac:dyDescent="0.25">
      <c r="A118" t="s">
        <v>1971</v>
      </c>
      <c r="B118" t="s">
        <v>1972</v>
      </c>
      <c r="C118" t="s">
        <v>1751</v>
      </c>
      <c r="D118" s="8">
        <v>4</v>
      </c>
      <c r="E118" s="9">
        <v>707.15</v>
      </c>
      <c r="F118" s="8">
        <v>40</v>
      </c>
      <c r="G118" s="10"/>
      <c r="H118" s="9" t="str">
        <f>IF(G118="","",E118*G118)</f>
        <v/>
      </c>
      <c r="I118" s="11" t="str">
        <f>HYPERLINK("https://optomposuda.ru/product/blyudo-28-sm-fantaziya-18516-s","открыть")</f>
        <v>открыть</v>
      </c>
    </row>
    <row r="119" spans="1:9" x14ac:dyDescent="0.25">
      <c r="A119" t="s">
        <v>1973</v>
      </c>
      <c r="B119" t="s">
        <v>1974</v>
      </c>
      <c r="C119" t="s">
        <v>1751</v>
      </c>
      <c r="D119" s="8">
        <v>4</v>
      </c>
      <c r="E119" s="9">
        <v>372.73</v>
      </c>
      <c r="F119" s="8">
        <v>1</v>
      </c>
      <c r="G119" s="10"/>
      <c r="H119" s="9" t="str">
        <f>IF(G119="","",E119*G119)</f>
        <v/>
      </c>
      <c r="I119" s="11" t="str">
        <f>HYPERLINK("https://optomposuda.ru/product/blyudo-28sm-granatovoe-sechenie","открыть")</f>
        <v>открыть</v>
      </c>
    </row>
    <row r="120" spans="1:9" x14ac:dyDescent="0.25">
      <c r="A120" t="s">
        <v>1975</v>
      </c>
      <c r="B120" t="s">
        <v>1976</v>
      </c>
      <c r="C120" t="s">
        <v>1751</v>
      </c>
      <c r="D120" s="8">
        <v>4</v>
      </c>
      <c r="E120" s="9">
        <v>542.77</v>
      </c>
      <c r="F120" s="8">
        <v>397</v>
      </c>
      <c r="G120" s="10"/>
      <c r="H120" s="9" t="str">
        <f>IF(G120="","",E120*G120)</f>
        <v/>
      </c>
      <c r="I120" s="11" t="str">
        <f>HYPERLINK("https://optomposuda.ru/product/blyudo-29-sm-listopad-19086-gb","открыть")</f>
        <v>открыть</v>
      </c>
    </row>
    <row r="121" spans="1:9" x14ac:dyDescent="0.25">
      <c r="A121" t="s">
        <v>1977</v>
      </c>
      <c r="B121" t="s">
        <v>1978</v>
      </c>
      <c r="C121" t="s">
        <v>1751</v>
      </c>
      <c r="D121" s="8">
        <v>8</v>
      </c>
      <c r="E121" s="9">
        <v>381.49</v>
      </c>
      <c r="F121" s="8">
        <v>1</v>
      </c>
      <c r="G121" s="10"/>
      <c r="H121" s="9" t="str">
        <f>IF(G121="","",E121*G121)</f>
        <v/>
      </c>
      <c r="I121" s="11" t="str">
        <f>HYPERLINK("https://optomposuda.ru/product/blyudo-30-sm-elka-11112","открыть")</f>
        <v>открыть</v>
      </c>
    </row>
    <row r="122" spans="1:9" x14ac:dyDescent="0.25">
      <c r="A122" t="s">
        <v>1979</v>
      </c>
      <c r="B122" t="s">
        <v>1980</v>
      </c>
      <c r="C122" t="s">
        <v>1751</v>
      </c>
      <c r="D122" s="8">
        <v>4</v>
      </c>
      <c r="E122" s="9">
        <v>685.44</v>
      </c>
      <c r="F122" s="8">
        <v>298</v>
      </c>
      <c r="G122" s="10"/>
      <c r="H122" s="9" t="str">
        <f>IF(G122="","",E122*G122)</f>
        <v/>
      </c>
      <c r="I122" s="11" t="str">
        <f>HYPERLINK("https://optomposuda.ru/product/blyudo-30-sm-mirazh-15254-t","открыть")</f>
        <v>открыть</v>
      </c>
    </row>
    <row r="123" spans="1:9" x14ac:dyDescent="0.25">
      <c r="A123" t="s">
        <v>1981</v>
      </c>
      <c r="B123" t="s">
        <v>1982</v>
      </c>
      <c r="C123" t="s">
        <v>1751</v>
      </c>
      <c r="D123" s="8">
        <v>30</v>
      </c>
      <c r="E123" s="9">
        <v>155.08</v>
      </c>
      <c r="F123" s="8">
        <v>30</v>
      </c>
      <c r="G123" s="10"/>
      <c r="H123" s="9" t="str">
        <f>IF(G123="","",E123*G123)</f>
        <v/>
      </c>
      <c r="I123" s="11" t="str">
        <f>HYPERLINK("https://optomposuda.ru/product/blyudo-30-sm-novyy-god-17310","открыть")</f>
        <v>открыть</v>
      </c>
    </row>
    <row r="124" spans="1:9" x14ac:dyDescent="0.25">
      <c r="A124" t="s">
        <v>1983</v>
      </c>
      <c r="B124" t="s">
        <v>1984</v>
      </c>
      <c r="C124" t="s">
        <v>1751</v>
      </c>
      <c r="D124" s="8">
        <v>6</v>
      </c>
      <c r="E124" s="9">
        <v>507.49</v>
      </c>
      <c r="F124" s="8">
        <v>76</v>
      </c>
      <c r="G124" s="10"/>
      <c r="H124" s="9" t="str">
        <f>IF(G124="","",E124*G124)</f>
        <v/>
      </c>
      <c r="I124" s="11" t="str">
        <f>HYPERLINK("https://optomposuda.ru/product/blyudo-30-sm-crystal","открыть")</f>
        <v>открыть</v>
      </c>
    </row>
    <row r="125" spans="1:9" x14ac:dyDescent="0.25">
      <c r="A125" t="s">
        <v>1985</v>
      </c>
      <c r="B125" t="s">
        <v>1986</v>
      </c>
      <c r="C125" t="s">
        <v>1751</v>
      </c>
      <c r="D125" s="8">
        <v>4</v>
      </c>
      <c r="E125" s="9">
        <v>507.49</v>
      </c>
      <c r="F125" s="8">
        <v>158</v>
      </c>
      <c r="G125" s="10"/>
      <c r="H125" s="9" t="str">
        <f>IF(G125="","",E125*G125)</f>
        <v/>
      </c>
      <c r="I125" s="11" t="str">
        <f>HYPERLINK("https://optomposuda.ru/product/blyudo-30-sm-marseille","открыть")</f>
        <v>открыть</v>
      </c>
    </row>
    <row r="126" spans="1:9" x14ac:dyDescent="0.25">
      <c r="A126" t="s">
        <v>1987</v>
      </c>
      <c r="B126" t="s">
        <v>1988</v>
      </c>
      <c r="C126" t="s">
        <v>1751</v>
      </c>
      <c r="D126" s="8">
        <v>4</v>
      </c>
      <c r="E126" s="9">
        <v>651.32</v>
      </c>
      <c r="F126" s="8">
        <v>341</v>
      </c>
      <c r="G126" s="10"/>
      <c r="H126" s="9" t="str">
        <f>IF(G126="","",E126*G126)</f>
        <v/>
      </c>
      <c r="I126" s="11" t="str">
        <f>HYPERLINK("https://optomposuda.ru/product/blyudo-30-sm-xmass-14125","открыть")</f>
        <v>открыть</v>
      </c>
    </row>
    <row r="127" spans="1:9" x14ac:dyDescent="0.25">
      <c r="A127" t="s">
        <v>1989</v>
      </c>
      <c r="B127" t="s">
        <v>1990</v>
      </c>
      <c r="C127" t="s">
        <v>1751</v>
      </c>
      <c r="D127" s="8">
        <v>4</v>
      </c>
      <c r="E127" s="9">
        <v>860.7</v>
      </c>
      <c r="F127" s="8">
        <v>156</v>
      </c>
      <c r="G127" s="10"/>
      <c r="H127" s="9" t="str">
        <f>IF(G127="","",E127*G127)</f>
        <v/>
      </c>
      <c r="I127" s="11" t="str">
        <f>HYPERLINK("https://optomposuda.ru/product/blyudo-30-cm-atlantis","открыть")</f>
        <v>открыть</v>
      </c>
    </row>
    <row r="128" spans="1:9" x14ac:dyDescent="0.25">
      <c r="A128" t="s">
        <v>1991</v>
      </c>
      <c r="B128" t="s">
        <v>1992</v>
      </c>
      <c r="C128" t="s">
        <v>1751</v>
      </c>
      <c r="D128" s="8">
        <v>4</v>
      </c>
      <c r="E128" s="9">
        <v>770.12</v>
      </c>
      <c r="F128" s="8">
        <v>245</v>
      </c>
      <c r="G128" s="10"/>
      <c r="H128" s="9" t="str">
        <f>IF(G128="","",E128*G128)</f>
        <v/>
      </c>
      <c r="I128" s="11" t="str">
        <f>HYPERLINK("https://optomposuda.ru/product/blyudo-30-cm-podvodnyy-mir-belyy","открыть")</f>
        <v>открыть</v>
      </c>
    </row>
    <row r="129" spans="1:9" x14ac:dyDescent="0.25">
      <c r="A129" t="s">
        <v>1993</v>
      </c>
      <c r="B129" t="s">
        <v>1994</v>
      </c>
      <c r="C129" t="s">
        <v>1751</v>
      </c>
      <c r="D129" s="8">
        <v>4</v>
      </c>
      <c r="E129" s="9">
        <v>676.25</v>
      </c>
      <c r="F129" s="8">
        <v>109</v>
      </c>
      <c r="G129" s="10"/>
      <c r="H129" s="9" t="str">
        <f>IF(G129="","",E129*G129)</f>
        <v/>
      </c>
      <c r="I129" s="11" t="str">
        <f>HYPERLINK("https://optomposuda.ru/product/blyudo-30-cm-podvodnyy-mir-korichnevyy","открыть")</f>
        <v>открыть</v>
      </c>
    </row>
    <row r="130" spans="1:9" x14ac:dyDescent="0.25">
      <c r="A130" t="s">
        <v>1995</v>
      </c>
      <c r="B130" t="s">
        <v>1996</v>
      </c>
      <c r="C130" t="s">
        <v>1751</v>
      </c>
      <c r="D130" s="8">
        <v>20</v>
      </c>
      <c r="E130" s="9">
        <v>217.11</v>
      </c>
      <c r="F130" s="8">
        <v>20</v>
      </c>
      <c r="G130" s="10"/>
      <c r="H130" s="9" t="str">
        <f>IF(G130="","",E130*G130)</f>
        <v/>
      </c>
      <c r="I130" s="11" t="str">
        <f>HYPERLINK("https://optomposuda.ru/product/blyudo-32-sm-novyy-god-15950","открыть")</f>
        <v>открыть</v>
      </c>
    </row>
    <row r="131" spans="1:9" x14ac:dyDescent="0.25">
      <c r="A131" t="s">
        <v>1997</v>
      </c>
      <c r="B131" t="s">
        <v>1998</v>
      </c>
      <c r="C131" t="s">
        <v>1751</v>
      </c>
      <c r="D131" s="8">
        <v>6</v>
      </c>
      <c r="E131" s="9">
        <v>1011.1</v>
      </c>
      <c r="F131" s="8">
        <v>249</v>
      </c>
      <c r="G131" s="10"/>
      <c r="H131" s="9" t="str">
        <f>IF(G131="","",E131*G131)</f>
        <v/>
      </c>
      <c r="I131" s="11" t="str">
        <f>HYPERLINK("https://optomposuda.ru/product/blyudo-32-sm-osenniy-vals-15486-v","открыть")</f>
        <v>открыть</v>
      </c>
    </row>
    <row r="132" spans="1:9" x14ac:dyDescent="0.25">
      <c r="A132" t="s">
        <v>1999</v>
      </c>
      <c r="B132" t="s">
        <v>2000</v>
      </c>
      <c r="C132" t="s">
        <v>1751</v>
      </c>
      <c r="D132" s="8">
        <v>6</v>
      </c>
      <c r="E132" s="9">
        <v>1286.98</v>
      </c>
      <c r="F132" s="8">
        <v>184</v>
      </c>
      <c r="G132" s="10"/>
      <c r="H132" s="9" t="str">
        <f>IF(G132="","",E132*G132)</f>
        <v/>
      </c>
      <c r="I132" s="11" t="str">
        <f>HYPERLINK("https://optomposuda.ru/product/blyudo-32-sm-christmas-candy-beloe","открыть")</f>
        <v>открыть</v>
      </c>
    </row>
    <row r="133" spans="1:9" x14ac:dyDescent="0.25">
      <c r="A133" t="s">
        <v>2001</v>
      </c>
      <c r="B133" t="s">
        <v>2002</v>
      </c>
      <c r="C133" t="s">
        <v>1751</v>
      </c>
      <c r="D133" s="8">
        <v>6</v>
      </c>
      <c r="E133" s="9">
        <v>1286.98</v>
      </c>
      <c r="F133" s="8">
        <v>224</v>
      </c>
      <c r="G133" s="10"/>
      <c r="H133" s="9" t="str">
        <f>IF(G133="","",E133*G133)</f>
        <v/>
      </c>
      <c r="I133" s="11" t="str">
        <f>HYPERLINK("https://optomposuda.ru/product/blyudo-32-sm-christmas-candy-rozovoe","открыть")</f>
        <v>открыть</v>
      </c>
    </row>
    <row r="134" spans="1:9" x14ac:dyDescent="0.25">
      <c r="A134" t="s">
        <v>2003</v>
      </c>
      <c r="B134" t="s">
        <v>2004</v>
      </c>
      <c r="C134" t="s">
        <v>1751</v>
      </c>
      <c r="D134" s="8">
        <v>6</v>
      </c>
      <c r="E134" s="9">
        <v>1013.15</v>
      </c>
      <c r="F134" s="8">
        <v>162</v>
      </c>
      <c r="G134" s="10"/>
      <c r="H134" s="9" t="str">
        <f>IF(G134="","",E134*G134)</f>
        <v/>
      </c>
      <c r="I134" s="11" t="str">
        <f>HYPERLINK("https://optomposuda.ru/product/blyudo-37-sm-list-magnolii-17315","открыть")</f>
        <v>открыть</v>
      </c>
    </row>
    <row r="135" spans="1:9" x14ac:dyDescent="0.25">
      <c r="A135" t="s">
        <v>2005</v>
      </c>
      <c r="B135" t="s">
        <v>2006</v>
      </c>
      <c r="C135" t="s">
        <v>1751</v>
      </c>
      <c r="D135" s="8">
        <v>4</v>
      </c>
      <c r="E135" s="9">
        <v>1237.51</v>
      </c>
      <c r="F135" s="8">
        <v>129</v>
      </c>
      <c r="G135" s="10"/>
      <c r="H135" s="9" t="str">
        <f>IF(G135="","",E135*G135)</f>
        <v/>
      </c>
      <c r="I135" s="11" t="str">
        <f>HYPERLINK("https://optomposuda.ru/product/blyudo-38-sm-mirazh-15255-t","открыть")</f>
        <v>открыть</v>
      </c>
    </row>
    <row r="136" spans="1:9" x14ac:dyDescent="0.25">
      <c r="A136" t="s">
        <v>2007</v>
      </c>
      <c r="B136" t="s">
        <v>2008</v>
      </c>
      <c r="C136" t="s">
        <v>1751</v>
      </c>
      <c r="D136" s="8">
        <v>4</v>
      </c>
      <c r="E136" s="9">
        <v>1238.78</v>
      </c>
      <c r="F136" s="8">
        <v>158</v>
      </c>
      <c r="G136" s="10"/>
      <c r="H136" s="9" t="str">
        <f>IF(G136="","",E136*G136)</f>
        <v/>
      </c>
      <c r="I136" s="11" t="str">
        <f>HYPERLINK("https://optomposuda.ru/product/blyudo-40-cm-podvodnyy-mir-belyy","открыть")</f>
        <v>открыть</v>
      </c>
    </row>
    <row r="137" spans="1:9" x14ac:dyDescent="0.25">
      <c r="A137" t="s">
        <v>2009</v>
      </c>
      <c r="B137" t="s">
        <v>2010</v>
      </c>
      <c r="C137" t="s">
        <v>1751</v>
      </c>
      <c r="D137" s="8">
        <v>4</v>
      </c>
      <c r="E137" s="9">
        <v>1238.78</v>
      </c>
      <c r="F137" s="8">
        <v>185</v>
      </c>
      <c r="G137" s="10"/>
      <c r="H137" s="9" t="str">
        <f>IF(G137="","",E137*G137)</f>
        <v/>
      </c>
      <c r="I137" s="11" t="str">
        <f>HYPERLINK("https://optomposuda.ru/product/blyudo-40-cm-podvodnyy-mir-korichnevyy","открыть")</f>
        <v>открыть</v>
      </c>
    </row>
    <row r="138" spans="1:9" x14ac:dyDescent="0.25">
      <c r="A138" t="s">
        <v>2011</v>
      </c>
      <c r="B138" t="s">
        <v>2012</v>
      </c>
      <c r="C138" t="s">
        <v>1751</v>
      </c>
      <c r="D138" s="8">
        <v>1</v>
      </c>
      <c r="E138" s="9">
        <v>734.27</v>
      </c>
      <c r="F138" s="8">
        <v>4</v>
      </c>
      <c r="G138" s="10"/>
      <c r="H138" s="9" t="str">
        <f>IF(G138="","",E138*G138)</f>
        <v/>
      </c>
      <c r="I138" s="11" t="str">
        <f>HYPERLINK("https://optomposuda.ru/product/blyudo-bolshoe-ametist-30sm-kor-4sht-18410-3","открыть")</f>
        <v>открыть</v>
      </c>
    </row>
    <row r="139" spans="1:9" x14ac:dyDescent="0.25">
      <c r="A139" t="s">
        <v>2013</v>
      </c>
      <c r="B139" t="s">
        <v>2014</v>
      </c>
      <c r="C139" t="s">
        <v>1751</v>
      </c>
      <c r="D139" s="8">
        <v>1</v>
      </c>
      <c r="E139" s="9">
        <v>1266.35</v>
      </c>
      <c r="F139" s="8">
        <v>17</v>
      </c>
      <c r="G139" s="10"/>
      <c r="H139" s="9" t="str">
        <f>IF(G139="","",E139*G139)</f>
        <v/>
      </c>
      <c r="I139" s="11" t="str">
        <f>HYPERLINK("https://optomposuda.ru/product/blyudo-bolshoe-ametist-40sm-kor-4sht-18411-3","открыть")</f>
        <v>открыть</v>
      </c>
    </row>
    <row r="140" spans="1:9" x14ac:dyDescent="0.25">
      <c r="A140" t="s">
        <v>2015</v>
      </c>
      <c r="B140" t="s">
        <v>2016</v>
      </c>
      <c r="C140" t="s">
        <v>1751</v>
      </c>
      <c r="D140" s="8">
        <v>1</v>
      </c>
      <c r="E140" s="9">
        <v>1440.93</v>
      </c>
      <c r="F140" s="8">
        <v>1</v>
      </c>
      <c r="G140" s="10"/>
      <c r="H140" s="9" t="str">
        <f>IF(G140="","",E140*G140)</f>
        <v/>
      </c>
      <c r="I140" s="11" t="str">
        <f>HYPERLINK("https://optomposuda.ru/product/blyudo-bolshoe-virdzhiniya-almaz-40sm-kor-4sht-18978-1","открыть")</f>
        <v>открыть</v>
      </c>
    </row>
    <row r="141" spans="1:9" x14ac:dyDescent="0.25">
      <c r="A141" t="s">
        <v>2017</v>
      </c>
      <c r="B141" t="s">
        <v>2018</v>
      </c>
      <c r="C141" t="s">
        <v>1751</v>
      </c>
      <c r="D141" s="8">
        <v>4</v>
      </c>
      <c r="E141" s="9">
        <v>1055.71</v>
      </c>
      <c r="F141" s="8">
        <v>246</v>
      </c>
      <c r="G141" s="10"/>
      <c r="H141" s="9" t="str">
        <f>IF(G141="","",E141*G141)</f>
        <v/>
      </c>
      <c r="I141" s="11" t="str">
        <f>HYPERLINK("https://optomposuda.ru/product/blyudo-bolshoe-drevo-v-zolote-30-sm","открыть")</f>
        <v>открыть</v>
      </c>
    </row>
    <row r="142" spans="1:9" x14ac:dyDescent="0.25">
      <c r="A142" t="s">
        <v>2019</v>
      </c>
      <c r="B142" t="s">
        <v>2020</v>
      </c>
      <c r="C142" t="s">
        <v>1751</v>
      </c>
      <c r="D142" s="8">
        <v>4</v>
      </c>
      <c r="E142" s="9">
        <v>1060.45</v>
      </c>
      <c r="F142" s="8">
        <v>323</v>
      </c>
      <c r="G142" s="10"/>
      <c r="H142" s="9" t="str">
        <f>IF(G142="","",E142*G142)</f>
        <v/>
      </c>
      <c r="I142" s="11" t="str">
        <f>HYPERLINK("https://optomposuda.ru/product/blyudo-bolshoe-drevo-v-serebre-30-sm","открыть")</f>
        <v>открыть</v>
      </c>
    </row>
    <row r="143" spans="1:9" x14ac:dyDescent="0.25">
      <c r="A143" t="s">
        <v>2021</v>
      </c>
      <c r="B143" t="s">
        <v>2022</v>
      </c>
      <c r="C143" t="s">
        <v>1751</v>
      </c>
      <c r="D143" s="8">
        <v>1</v>
      </c>
      <c r="E143" s="9">
        <v>1250.56</v>
      </c>
      <c r="F143" s="8">
        <v>1</v>
      </c>
      <c r="G143" s="10"/>
      <c r="H143" s="9" t="str">
        <f>IF(G143="","",E143*G143)</f>
        <v/>
      </c>
      <c r="I143" s="11" t="str">
        <f>HYPERLINK("https://optomposuda.ru/product/blyudo-bolshoe-drevo-kvatro-40sm-kor-4sht-17820","открыть")</f>
        <v>открыть</v>
      </c>
    </row>
    <row r="144" spans="1:9" x14ac:dyDescent="0.25">
      <c r="A144" t="s">
        <v>2023</v>
      </c>
      <c r="B144" t="s">
        <v>2024</v>
      </c>
      <c r="C144" t="s">
        <v>1751</v>
      </c>
      <c r="D144" s="8">
        <v>1</v>
      </c>
      <c r="E144" s="9">
        <v>998.69</v>
      </c>
      <c r="F144" s="8">
        <v>44</v>
      </c>
      <c r="G144" s="10"/>
      <c r="H144" s="9" t="str">
        <f>IF(G144="","",E144*G144)</f>
        <v/>
      </c>
      <c r="I144" s="11" t="str">
        <f>HYPERLINK("https://optomposuda.ru/product/blyudo-bolshoe-drevo-triada-30sm-kor-4sht-17819","открыть")</f>
        <v>открыть</v>
      </c>
    </row>
    <row r="145" spans="1:9" x14ac:dyDescent="0.25">
      <c r="A145" t="s">
        <v>2025</v>
      </c>
      <c r="B145" t="s">
        <v>2026</v>
      </c>
      <c r="C145" t="s">
        <v>1751</v>
      </c>
      <c r="D145" s="8">
        <v>1</v>
      </c>
      <c r="E145" s="9">
        <v>734.27</v>
      </c>
      <c r="F145" s="8">
        <v>3</v>
      </c>
      <c r="G145" s="10"/>
      <c r="H145" s="9" t="str">
        <f>IF(G145="","",E145*G145)</f>
        <v/>
      </c>
      <c r="I145" s="11" t="str">
        <f>HYPERLINK("https://optomposuda.ru/product/blyudo-bolshoe-drevo-triada-30sm-kor-4sht-339-064","открыть")</f>
        <v>открыть</v>
      </c>
    </row>
    <row r="146" spans="1:9" x14ac:dyDescent="0.25">
      <c r="A146" t="s">
        <v>2027</v>
      </c>
      <c r="B146" t="s">
        <v>2028</v>
      </c>
      <c r="C146" t="s">
        <v>1751</v>
      </c>
      <c r="D146" s="8">
        <v>1</v>
      </c>
      <c r="E146" s="9">
        <v>1030.65</v>
      </c>
      <c r="F146" s="8">
        <v>1</v>
      </c>
      <c r="G146" s="10"/>
      <c r="H146" s="9" t="str">
        <f>IF(G146="","",E146*G146)</f>
        <v/>
      </c>
      <c r="I146" s="11" t="str">
        <f>HYPERLINK("https://optomposuda.ru/product/blyudo-bolshoe-zoloto-hyurrem-40sm-kor-4sht-17165-5","открыть")</f>
        <v>открыть</v>
      </c>
    </row>
    <row r="147" spans="1:9" x14ac:dyDescent="0.25">
      <c r="A147" t="s">
        <v>2029</v>
      </c>
      <c r="B147" t="s">
        <v>2030</v>
      </c>
      <c r="C147" t="s">
        <v>1751</v>
      </c>
      <c r="D147" s="8">
        <v>1</v>
      </c>
      <c r="E147" s="9">
        <v>1144.57</v>
      </c>
      <c r="F147" s="8">
        <v>1</v>
      </c>
      <c r="G147" s="10"/>
      <c r="H147" s="9" t="str">
        <f>IF(G147="","",E147*G147)</f>
        <v/>
      </c>
      <c r="I147" s="11" t="str">
        <f>HYPERLINK("https://optomposuda.ru/product/blyudo-bolshoe-kvatro-serebro-40sm-kor-4sht-17488-1","открыть")</f>
        <v>открыть</v>
      </c>
    </row>
    <row r="148" spans="1:9" x14ac:dyDescent="0.25">
      <c r="A148" t="s">
        <v>2031</v>
      </c>
      <c r="B148" t="s">
        <v>2032</v>
      </c>
      <c r="C148" t="s">
        <v>1751</v>
      </c>
      <c r="D148" s="8">
        <v>4</v>
      </c>
      <c r="E148" s="9">
        <v>534.34</v>
      </c>
      <c r="F148" s="8">
        <v>7</v>
      </c>
      <c r="G148" s="10"/>
      <c r="H148" s="9" t="str">
        <f>IF(G148="","",E148*G148)</f>
        <v/>
      </c>
      <c r="I148" s="11" t="str">
        <f>HYPERLINK("https://optomposuda.ru/product/blyudo-bolshoe-lunnoe-siyanie-30-sm","открыть")</f>
        <v>открыть</v>
      </c>
    </row>
    <row r="149" spans="1:9" x14ac:dyDescent="0.25">
      <c r="A149" t="s">
        <v>2033</v>
      </c>
      <c r="B149" t="s">
        <v>2034</v>
      </c>
      <c r="C149" t="s">
        <v>1751</v>
      </c>
      <c r="D149" s="8">
        <v>1</v>
      </c>
      <c r="E149" s="9">
        <v>970.14</v>
      </c>
      <c r="F149" s="8">
        <v>162</v>
      </c>
      <c r="G149" s="10"/>
      <c r="H149" s="9" t="str">
        <f>IF(G149="","",E149*G149)</f>
        <v/>
      </c>
      <c r="I149" s="11" t="str">
        <f>HYPERLINK("https://optomposuda.ru/product/blyudo-bolshoe-lunnoe-siyanie-30-sm-kor-4sht-18411-1-18410-1","открыть")</f>
        <v>открыть</v>
      </c>
    </row>
    <row r="150" spans="1:9" x14ac:dyDescent="0.25">
      <c r="A150" t="s">
        <v>2035</v>
      </c>
      <c r="B150" t="s">
        <v>2036</v>
      </c>
      <c r="C150" t="s">
        <v>1751</v>
      </c>
      <c r="D150" s="8">
        <v>4</v>
      </c>
      <c r="E150" s="9">
        <v>806.35</v>
      </c>
      <c r="F150" s="8">
        <v>139</v>
      </c>
      <c r="G150" s="10"/>
      <c r="H150" s="9" t="str">
        <f>IF(G150="","",E150*G150)</f>
        <v/>
      </c>
      <c r="I150" s="11" t="str">
        <f>HYPERLINK("https://optomposuda.ru/product/blyudo-bolshoe-maki-30-sm","открыть")</f>
        <v>открыть</v>
      </c>
    </row>
    <row r="151" spans="1:9" x14ac:dyDescent="0.25">
      <c r="A151" t="s">
        <v>2037</v>
      </c>
      <c r="B151" t="s">
        <v>2038</v>
      </c>
      <c r="C151" t="s">
        <v>1751</v>
      </c>
      <c r="D151" s="8">
        <v>1</v>
      </c>
      <c r="E151" s="9">
        <v>647.98</v>
      </c>
      <c r="F151" s="8">
        <v>57</v>
      </c>
      <c r="G151" s="10"/>
      <c r="H151" s="9" t="str">
        <f>IF(G151="","",E151*G151)</f>
        <v/>
      </c>
      <c r="I151" s="11" t="str">
        <f>HYPERLINK("https://optomposuda.ru/product/blyudo-bolshoe-rubin-30sm-kor-4sht-18410-2","открыть")</f>
        <v>открыть</v>
      </c>
    </row>
    <row r="152" spans="1:9" x14ac:dyDescent="0.25">
      <c r="A152" t="s">
        <v>2039</v>
      </c>
      <c r="B152" t="s">
        <v>2040</v>
      </c>
      <c r="C152" t="s">
        <v>1751</v>
      </c>
      <c r="D152" s="8">
        <v>1</v>
      </c>
      <c r="E152" s="9">
        <v>1701.07</v>
      </c>
      <c r="F152" s="8">
        <v>188</v>
      </c>
      <c r="G152" s="10"/>
      <c r="H152" s="9" t="str">
        <f>IF(G152="","",E152*G152)</f>
        <v/>
      </c>
      <c r="I152" s="11" t="str">
        <f>HYPERLINK("https://optomposuda.ru/product/blyudo-bolshoe-salvador-roza-40sm-kor-4sht-17488-3","открыть")</f>
        <v>открыть</v>
      </c>
    </row>
    <row r="153" spans="1:9" x14ac:dyDescent="0.25">
      <c r="A153" t="s">
        <v>2041</v>
      </c>
      <c r="B153" t="s">
        <v>2042</v>
      </c>
      <c r="C153" t="s">
        <v>1751</v>
      </c>
      <c r="D153" s="8">
        <v>1</v>
      </c>
      <c r="E153" s="9">
        <v>1701.07</v>
      </c>
      <c r="F153" s="8">
        <v>37</v>
      </c>
      <c r="G153" s="10"/>
      <c r="H153" s="9" t="str">
        <f>IF(G153="","",E153*G153)</f>
        <v/>
      </c>
      <c r="I153" s="11" t="str">
        <f>HYPERLINK("https://optomposuda.ru/product/blyudo-bolshoe-salvador-ebru-40sm-kor-4sht-17488-4","открыть")</f>
        <v>открыть</v>
      </c>
    </row>
    <row r="154" spans="1:9" x14ac:dyDescent="0.25">
      <c r="A154" t="s">
        <v>2043</v>
      </c>
      <c r="B154" t="s">
        <v>2044</v>
      </c>
      <c r="C154" t="s">
        <v>1751</v>
      </c>
      <c r="D154" s="8">
        <v>1</v>
      </c>
      <c r="E154" s="9">
        <v>602.53</v>
      </c>
      <c r="F154" s="8">
        <v>5</v>
      </c>
      <c r="G154" s="10"/>
      <c r="H154" s="9" t="str">
        <f>IF(G154="","",E154*G154)</f>
        <v/>
      </c>
      <c r="I154" s="11" t="str">
        <f>HYPERLINK("https://optomposuda.ru/product/blyudo-bolshoe-serebro-hyurrem-30-sm-kor-4sht-17164-4","открыть")</f>
        <v>открыть</v>
      </c>
    </row>
    <row r="155" spans="1:9" x14ac:dyDescent="0.25">
      <c r="A155" t="s">
        <v>2045</v>
      </c>
      <c r="B155" t="s">
        <v>2046</v>
      </c>
      <c r="C155" t="s">
        <v>1751</v>
      </c>
      <c r="D155" s="8">
        <v>1</v>
      </c>
      <c r="E155" s="9">
        <v>617.21</v>
      </c>
      <c r="F155" s="8">
        <v>2</v>
      </c>
      <c r="G155" s="10"/>
      <c r="H155" s="9" t="str">
        <f>IF(G155="","",E155*G155)</f>
        <v/>
      </c>
      <c r="I155" s="11" t="str">
        <f>HYPERLINK("https://optomposuda.ru/product/blyudo-bolshoe-serebryanyy-tuman-30sm-kor-4sht-18865","открыть")</f>
        <v>открыть</v>
      </c>
    </row>
    <row r="156" spans="1:9" x14ac:dyDescent="0.25">
      <c r="A156" t="s">
        <v>2047</v>
      </c>
      <c r="B156" t="s">
        <v>2048</v>
      </c>
      <c r="C156" t="s">
        <v>1751</v>
      </c>
      <c r="D156" s="8">
        <v>4</v>
      </c>
      <c r="E156" s="9">
        <v>1234.43</v>
      </c>
      <c r="F156" s="8">
        <v>13</v>
      </c>
      <c r="G156" s="10"/>
      <c r="H156" s="9" t="str">
        <f>IF(G156="","",E156*G156)</f>
        <v/>
      </c>
      <c r="I156" s="11" t="str">
        <f>HYPERLINK("https://optomposuda.ru/product/blyudo-bolshoe-sumerki-v-tropikah-40-sm","открыть")</f>
        <v>открыть</v>
      </c>
    </row>
    <row r="157" spans="1:9" x14ac:dyDescent="0.25">
      <c r="A157" t="s">
        <v>2049</v>
      </c>
      <c r="B157" t="s">
        <v>2050</v>
      </c>
      <c r="C157" t="s">
        <v>1751</v>
      </c>
      <c r="D157" s="8">
        <v>1</v>
      </c>
      <c r="E157" s="9">
        <v>712.99</v>
      </c>
      <c r="F157" s="8">
        <v>1</v>
      </c>
      <c r="G157" s="10"/>
      <c r="H157" s="9" t="str">
        <f>IF(G157="","",E157*G157)</f>
        <v/>
      </c>
      <c r="I157" s="11" t="str">
        <f>HYPERLINK("https://optomposuda.ru/product/blyudo-bolshoe-hyurrem-biryuza-30sm-kor-4sht-17164-1","открыть")</f>
        <v>открыть</v>
      </c>
    </row>
    <row r="158" spans="1:9" x14ac:dyDescent="0.25">
      <c r="A158" t="s">
        <v>2051</v>
      </c>
      <c r="B158" t="s">
        <v>2052</v>
      </c>
      <c r="C158" t="s">
        <v>1751</v>
      </c>
      <c r="D158" s="8">
        <v>1</v>
      </c>
      <c r="E158" s="9">
        <v>639.12</v>
      </c>
      <c r="F158" s="8">
        <v>18</v>
      </c>
      <c r="G158" s="10"/>
      <c r="H158" s="9" t="str">
        <f>IF(G158="","",E158*G158)</f>
        <v/>
      </c>
      <c r="I158" s="11" t="str">
        <f>HYPERLINK("https://optomposuda.ru/product/blyudo-bolshoe-kamennyy-cvetok-30-cm-kor-4sht-17467","открыть")</f>
        <v>открыть</v>
      </c>
    </row>
    <row r="159" spans="1:9" x14ac:dyDescent="0.25">
      <c r="A159" t="s">
        <v>2053</v>
      </c>
      <c r="B159" t="s">
        <v>2054</v>
      </c>
      <c r="C159" t="s">
        <v>1751</v>
      </c>
      <c r="D159" s="8">
        <v>4</v>
      </c>
      <c r="E159" s="9">
        <v>1218.13</v>
      </c>
      <c r="F159" s="8">
        <v>196</v>
      </c>
      <c r="G159" s="10"/>
      <c r="H159" s="9" t="str">
        <f>IF(G159="","",E159*G159)</f>
        <v/>
      </c>
      <c r="I159" s="11" t="str">
        <f>HYPERLINK("https://optomposuda.ru/product/blyudo-bolshoe-40-sm-divo","открыть")</f>
        <v>открыть</v>
      </c>
    </row>
    <row r="160" spans="1:9" x14ac:dyDescent="0.25">
      <c r="A160" t="s">
        <v>2055</v>
      </c>
      <c r="B160" t="s">
        <v>2056</v>
      </c>
      <c r="C160" t="s">
        <v>1751</v>
      </c>
      <c r="D160" s="8">
        <v>4</v>
      </c>
      <c r="E160" s="9">
        <v>1268.73</v>
      </c>
      <c r="F160" s="8">
        <v>41</v>
      </c>
      <c r="G160" s="10"/>
      <c r="H160" s="9" t="str">
        <f>IF(G160="","",E160*G160)</f>
        <v/>
      </c>
      <c r="I160" s="11" t="str">
        <f>HYPERLINK("https://optomposuda.ru/product/blyudo-bolshoe-40-sm-ellada","открыть")</f>
        <v>открыть</v>
      </c>
    </row>
    <row r="161" spans="1:9" x14ac:dyDescent="0.25">
      <c r="A161" t="s">
        <v>2057</v>
      </c>
      <c r="B161" t="s">
        <v>2058</v>
      </c>
      <c r="C161" t="s">
        <v>1751</v>
      </c>
      <c r="D161" s="8">
        <v>4</v>
      </c>
      <c r="E161" s="9">
        <v>1070.94</v>
      </c>
      <c r="F161" s="8">
        <v>213</v>
      </c>
      <c r="G161" s="10"/>
      <c r="H161" s="9" t="str">
        <f>IF(G161="","",E161*G161)</f>
        <v/>
      </c>
      <c r="I161" s="11" t="str">
        <f>HYPERLINK("https://optomposuda.ru/product/blyudo-bolshoe-na-nozhke-maki-30-sm","открыть")</f>
        <v>открыть</v>
      </c>
    </row>
    <row r="162" spans="1:9" x14ac:dyDescent="0.25">
      <c r="A162" t="s">
        <v>2059</v>
      </c>
      <c r="B162" t="s">
        <v>2060</v>
      </c>
      <c r="C162" t="s">
        <v>1751</v>
      </c>
      <c r="D162" s="8">
        <v>3</v>
      </c>
      <c r="E162" s="9">
        <v>1063.24</v>
      </c>
      <c r="F162" s="8">
        <v>7</v>
      </c>
      <c r="G162" s="10"/>
      <c r="H162" s="9" t="str">
        <f>IF(G162="","",E162*G162)</f>
        <v/>
      </c>
      <c r="I162" s="11" t="str">
        <f>HYPERLINK("https://optomposuda.ru/product/blyudo-bolshoe-na-nozhke-romashka-30-sm","открыть")</f>
        <v>открыть</v>
      </c>
    </row>
    <row r="163" spans="1:9" x14ac:dyDescent="0.25">
      <c r="A163" t="s">
        <v>2061</v>
      </c>
      <c r="B163" t="s">
        <v>2062</v>
      </c>
      <c r="C163" t="s">
        <v>1751</v>
      </c>
      <c r="D163" s="8">
        <v>1</v>
      </c>
      <c r="E163" s="9">
        <v>602.53</v>
      </c>
      <c r="F163" s="8">
        <v>1</v>
      </c>
      <c r="G163" s="10"/>
      <c r="H163" s="9" t="str">
        <f>IF(G163="","",E163*G163)</f>
        <v/>
      </c>
      <c r="I163" s="11" t="str">
        <f>HYPERLINK("https://optomposuda.ru/product/blyudo-glubokoe-ametist-25sm-bez-upakovki-kor-4sht-17547-3","открыть")</f>
        <v>открыть</v>
      </c>
    </row>
    <row r="164" spans="1:9" x14ac:dyDescent="0.25">
      <c r="A164" t="s">
        <v>2063</v>
      </c>
      <c r="B164" t="s">
        <v>2064</v>
      </c>
      <c r="C164" t="s">
        <v>1751</v>
      </c>
      <c r="D164" s="8">
        <v>6</v>
      </c>
      <c r="E164" s="9">
        <v>666.65</v>
      </c>
      <c r="F164" s="8">
        <v>10</v>
      </c>
      <c r="G164" s="10"/>
      <c r="H164" s="9" t="str">
        <f>IF(G164="","",E164*G164)</f>
        <v/>
      </c>
      <c r="I164" s="11" t="str">
        <f>HYPERLINK("https://optomposuda.ru/product/blyudo-glubokoe-aura-20-sm-beloe-serebro","открыть")</f>
        <v>открыть</v>
      </c>
    </row>
    <row r="165" spans="1:9" x14ac:dyDescent="0.25">
      <c r="A165" t="s">
        <v>2065</v>
      </c>
      <c r="B165" t="s">
        <v>2066</v>
      </c>
      <c r="C165" t="s">
        <v>1751</v>
      </c>
      <c r="D165" s="8">
        <v>6</v>
      </c>
      <c r="E165" s="9">
        <v>666.65</v>
      </c>
      <c r="F165" s="8">
        <v>86</v>
      </c>
      <c r="G165" s="10"/>
      <c r="H165" s="9" t="str">
        <f>IF(G165="","",E165*G165)</f>
        <v/>
      </c>
      <c r="I165" s="11" t="str">
        <f>HYPERLINK("https://optomposuda.ru/product/blyudo-glubokoe-aura-20-sm-goluboe-serebro","открыть")</f>
        <v>открыть</v>
      </c>
    </row>
    <row r="166" spans="1:9" x14ac:dyDescent="0.25">
      <c r="A166" t="s">
        <v>2067</v>
      </c>
      <c r="B166" t="s">
        <v>2068</v>
      </c>
      <c r="C166" t="s">
        <v>1751</v>
      </c>
      <c r="D166" s="8">
        <v>4</v>
      </c>
      <c r="E166" s="9">
        <v>909.07</v>
      </c>
      <c r="F166" s="8">
        <v>32</v>
      </c>
      <c r="G166" s="10"/>
      <c r="H166" s="9" t="str">
        <f>IF(G166="","",E166*G166)</f>
        <v/>
      </c>
      <c r="I166" s="11" t="str">
        <f>HYPERLINK("https://optomposuda.ru/product/blyudo-glubokoe-aura-30-sm-beloe-serebro","открыть")</f>
        <v>открыть</v>
      </c>
    </row>
    <row r="167" spans="1:9" x14ac:dyDescent="0.25">
      <c r="A167" t="s">
        <v>2069</v>
      </c>
      <c r="B167" t="s">
        <v>2070</v>
      </c>
      <c r="C167" t="s">
        <v>1751</v>
      </c>
      <c r="D167" s="8">
        <v>4</v>
      </c>
      <c r="E167" s="9">
        <v>909.07</v>
      </c>
      <c r="F167" s="8">
        <v>20</v>
      </c>
      <c r="G167" s="10"/>
      <c r="H167" s="9" t="str">
        <f>IF(G167="","",E167*G167)</f>
        <v/>
      </c>
      <c r="I167" s="11" t="str">
        <f>HYPERLINK("https://optomposuda.ru/product/blyudo-glubokoe-aura-30-sm-goluboe-serebro","открыть")</f>
        <v>открыть</v>
      </c>
    </row>
    <row r="168" spans="1:9" x14ac:dyDescent="0.25">
      <c r="A168" t="s">
        <v>2071</v>
      </c>
      <c r="B168" t="s">
        <v>2072</v>
      </c>
      <c r="C168" t="s">
        <v>1751</v>
      </c>
      <c r="D168" s="8">
        <v>4</v>
      </c>
      <c r="E168" s="9">
        <v>1289.03</v>
      </c>
      <c r="F168" s="8">
        <v>102</v>
      </c>
      <c r="G168" s="10"/>
      <c r="H168" s="9" t="str">
        <f>IF(G168="","",E168*G168)</f>
        <v/>
      </c>
      <c r="I168" s="11" t="str">
        <f>HYPERLINK("https://optomposuda.ru/product/blyudo-glubokoe-vostorg-30-sm","открыть")</f>
        <v>открыть</v>
      </c>
    </row>
    <row r="169" spans="1:9" x14ac:dyDescent="0.25">
      <c r="A169" t="s">
        <v>2073</v>
      </c>
      <c r="B169" t="s">
        <v>2074</v>
      </c>
      <c r="C169" t="s">
        <v>1751</v>
      </c>
      <c r="D169" s="8">
        <v>4</v>
      </c>
      <c r="E169" s="9">
        <v>1421.15</v>
      </c>
      <c r="F169" s="8">
        <v>137</v>
      </c>
      <c r="G169" s="10"/>
      <c r="H169" s="9" t="str">
        <f>IF(G169="","",E169*G169)</f>
        <v/>
      </c>
      <c r="I169" s="11" t="str">
        <f>HYPERLINK("https://optomposuda.ru/product/blyudo-glubokoe-ledyanoy-cvetok-zoloto-30-sm","открыть")</f>
        <v>открыть</v>
      </c>
    </row>
    <row r="170" spans="1:9" x14ac:dyDescent="0.25">
      <c r="A170" t="s">
        <v>2075</v>
      </c>
      <c r="B170" t="s">
        <v>2076</v>
      </c>
      <c r="C170" t="s">
        <v>1751</v>
      </c>
      <c r="D170" s="8">
        <v>1</v>
      </c>
      <c r="E170" s="9">
        <v>970.14</v>
      </c>
      <c r="F170" s="8">
        <v>157</v>
      </c>
      <c r="G170" s="10"/>
      <c r="H170" s="9" t="str">
        <f>IF(G170="","",E170*G170)</f>
        <v/>
      </c>
      <c r="I170" s="11" t="str">
        <f>HYPERLINK("https://optomposuda.ru/product/blyudo-glubokoe-lunnoe-siyanie-25sm-bez-upakovki-kor-4sht-17547-1","открыть")</f>
        <v>открыть</v>
      </c>
    </row>
    <row r="171" spans="1:9" x14ac:dyDescent="0.25">
      <c r="A171" t="s">
        <v>2077</v>
      </c>
      <c r="B171" t="s">
        <v>2078</v>
      </c>
      <c r="C171" t="s">
        <v>1751</v>
      </c>
      <c r="D171" s="8">
        <v>4</v>
      </c>
      <c r="E171" s="9">
        <v>1136.6</v>
      </c>
      <c r="F171" s="8">
        <v>303</v>
      </c>
      <c r="G171" s="10"/>
      <c r="H171" s="9" t="str">
        <f>IF(G171="","",E171*G171)</f>
        <v/>
      </c>
      <c r="I171" s="11" t="str">
        <f>HYPERLINK("https://optomposuda.ru/product/blyudo-glubokoe-taezhnaya-skazka-30-cm-beloe","открыть")</f>
        <v>открыть</v>
      </c>
    </row>
    <row r="172" spans="1:9" x14ac:dyDescent="0.25">
      <c r="A172" t="s">
        <v>2079</v>
      </c>
      <c r="B172" t="s">
        <v>2080</v>
      </c>
      <c r="C172" t="s">
        <v>1751</v>
      </c>
      <c r="D172" s="8">
        <v>4</v>
      </c>
      <c r="E172" s="9">
        <v>1136.6</v>
      </c>
      <c r="F172" s="8">
        <v>242</v>
      </c>
      <c r="G172" s="10"/>
      <c r="H172" s="9" t="str">
        <f>IF(G172="","",E172*G172)</f>
        <v/>
      </c>
      <c r="I172" s="11" t="str">
        <f>HYPERLINK("https://optomposuda.ru/product/blyudo-glubokoe-taezhnaya-skazka-30-cm-krasnoe","открыть")</f>
        <v>открыть</v>
      </c>
    </row>
    <row r="173" spans="1:9" x14ac:dyDescent="0.25">
      <c r="A173" t="s">
        <v>2081</v>
      </c>
      <c r="B173" t="s">
        <v>2082</v>
      </c>
      <c r="C173" t="s">
        <v>1751</v>
      </c>
      <c r="D173" s="8">
        <v>4</v>
      </c>
      <c r="E173" s="9">
        <v>762.44</v>
      </c>
      <c r="F173" s="8">
        <v>30</v>
      </c>
      <c r="G173" s="10"/>
      <c r="H173" s="9" t="str">
        <f>IF(G173="","",E173*G173)</f>
        <v/>
      </c>
      <c r="I173" s="11" t="str">
        <f>HYPERLINK("https://optomposuda.ru/product/blyudo-glubokoe-25-sm-gerbera","открыть")</f>
        <v>открыть</v>
      </c>
    </row>
    <row r="174" spans="1:9" x14ac:dyDescent="0.25">
      <c r="A174" t="s">
        <v>2083</v>
      </c>
      <c r="B174" t="s">
        <v>2084</v>
      </c>
      <c r="C174" t="s">
        <v>1751</v>
      </c>
      <c r="D174" s="8">
        <v>4</v>
      </c>
      <c r="E174" s="9">
        <v>629.87</v>
      </c>
      <c r="F174" s="8">
        <v>163</v>
      </c>
      <c r="G174" s="10"/>
      <c r="H174" s="9" t="str">
        <f>IF(G174="","",E174*G174)</f>
        <v/>
      </c>
      <c r="I174" s="11" t="str">
        <f>HYPERLINK("https://optomposuda.ru/product/blyudo-glubokoe-30-cm-morskaya-stihiya","открыть")</f>
        <v>открыть</v>
      </c>
    </row>
    <row r="175" spans="1:9" x14ac:dyDescent="0.25">
      <c r="A175" t="s">
        <v>2079</v>
      </c>
      <c r="B175" t="s">
        <v>2085</v>
      </c>
      <c r="C175" t="s">
        <v>1751</v>
      </c>
      <c r="D175" s="8">
        <v>1</v>
      </c>
      <c r="E175" s="9">
        <v>863.91</v>
      </c>
      <c r="F175" s="8">
        <v>2</v>
      </c>
      <c r="G175" s="10"/>
      <c r="H175" s="9" t="str">
        <f>IF(G175="","",E175*G175)</f>
        <v/>
      </c>
      <c r="I175" s="11" t="str">
        <f>HYPERLINK("https://optomposuda.ru/product/blyudo-glubokoe-30sm-xmas-pine-krasnyy-art-18233-r","открыть")</f>
        <v>открыть</v>
      </c>
    </row>
    <row r="176" spans="1:9" x14ac:dyDescent="0.25">
      <c r="A176" t="s">
        <v>2086</v>
      </c>
      <c r="B176" t="s">
        <v>2087</v>
      </c>
      <c r="C176" t="s">
        <v>1751</v>
      </c>
      <c r="D176" s="8">
        <v>4</v>
      </c>
      <c r="E176" s="9">
        <v>1125.72</v>
      </c>
      <c r="F176" s="8">
        <v>143</v>
      </c>
      <c r="G176" s="10"/>
      <c r="H176" s="9" t="str">
        <f>IF(G176="","",E176*G176)</f>
        <v/>
      </c>
      <c r="I176" s="11" t="str">
        <f>HYPERLINK("https://optomposuda.ru/product/blyudo-glubokoe-40-cm-morskoy-vihr","открыть")</f>
        <v>открыть</v>
      </c>
    </row>
    <row r="177" spans="1:9" x14ac:dyDescent="0.25">
      <c r="A177" t="s">
        <v>2088</v>
      </c>
      <c r="B177" t="s">
        <v>2089</v>
      </c>
      <c r="C177" t="s">
        <v>1751</v>
      </c>
      <c r="D177" s="8">
        <v>6</v>
      </c>
      <c r="E177" s="9">
        <v>268.86</v>
      </c>
      <c r="F177" s="8">
        <v>1</v>
      </c>
      <c r="G177" s="10"/>
      <c r="H177" s="9" t="str">
        <f>IF(G177="","",E177*G177)</f>
        <v/>
      </c>
      <c r="I177" s="11" t="str">
        <f>HYPERLINK("https://optomposuda.ru/product/blyudo-maloe-znoynye-tropiki-21-sm","открыть")</f>
        <v>открыть</v>
      </c>
    </row>
    <row r="178" spans="1:9" x14ac:dyDescent="0.25">
      <c r="A178" t="s">
        <v>2090</v>
      </c>
      <c r="B178" t="s">
        <v>2091</v>
      </c>
      <c r="C178" t="s">
        <v>1751</v>
      </c>
      <c r="D178" s="8">
        <v>6</v>
      </c>
      <c r="E178" s="9">
        <v>317.18</v>
      </c>
      <c r="F178" s="8">
        <v>280</v>
      </c>
      <c r="G178" s="10"/>
      <c r="H178" s="9" t="str">
        <f>IF(G178="","",E178*G178)</f>
        <v/>
      </c>
      <c r="I178" s="11" t="str">
        <f>HYPERLINK("https://optomposuda.ru/product/blyudo-maloe-21-sm-ellada","открыть")</f>
        <v>открыть</v>
      </c>
    </row>
    <row r="179" spans="1:9" x14ac:dyDescent="0.25">
      <c r="A179" t="s">
        <v>2092</v>
      </c>
      <c r="B179" t="s">
        <v>2093</v>
      </c>
      <c r="C179" t="s">
        <v>1751</v>
      </c>
      <c r="D179" s="8">
        <v>4</v>
      </c>
      <c r="E179" s="9">
        <v>669.76</v>
      </c>
      <c r="F179" s="8">
        <v>322</v>
      </c>
      <c r="G179" s="10"/>
      <c r="H179" s="9" t="str">
        <f>IF(G179="","",E179*G179)</f>
        <v/>
      </c>
      <c r="I179" s="11" t="str">
        <f>HYPERLINK("https://optomposuda.ru/product/blyudo-na-nozhke-ayvori-korally-21-sm","открыть")</f>
        <v>открыть</v>
      </c>
    </row>
    <row r="180" spans="1:9" x14ac:dyDescent="0.25">
      <c r="A180" t="s">
        <v>2094</v>
      </c>
      <c r="B180" t="s">
        <v>2095</v>
      </c>
      <c r="C180" t="s">
        <v>1751</v>
      </c>
      <c r="D180" s="8">
        <v>4</v>
      </c>
      <c r="E180" s="9">
        <v>1086.07</v>
      </c>
      <c r="F180" s="8">
        <v>251</v>
      </c>
      <c r="G180" s="10"/>
      <c r="H180" s="9" t="str">
        <f>IF(G180="","",E180*G180)</f>
        <v/>
      </c>
      <c r="I180" s="11" t="str">
        <f>HYPERLINK("https://optomposuda.ru/product/blyudo-na-nozhke-antichnaya-roza-28-sm-zoloto-17909a-g","открыть")</f>
        <v>открыть</v>
      </c>
    </row>
    <row r="181" spans="1:9" x14ac:dyDescent="0.25">
      <c r="A181" t="s">
        <v>2096</v>
      </c>
      <c r="B181" t="s">
        <v>2097</v>
      </c>
      <c r="C181" t="s">
        <v>1751</v>
      </c>
      <c r="D181" s="8">
        <v>4</v>
      </c>
      <c r="E181" s="9">
        <v>1086.07</v>
      </c>
      <c r="F181" s="8">
        <v>254</v>
      </c>
      <c r="G181" s="10"/>
      <c r="H181" s="9" t="str">
        <f>IF(G181="","",E181*G181)</f>
        <v/>
      </c>
      <c r="I181" s="11" t="str">
        <f>HYPERLINK("https://optomposuda.ru/product/blyudo-na-nozhke-antichnaya-roza-28-sm-platina-17909a-r","открыть")</f>
        <v>открыть</v>
      </c>
    </row>
    <row r="182" spans="1:9" x14ac:dyDescent="0.25">
      <c r="A182" t="s">
        <v>2098</v>
      </c>
      <c r="B182" t="s">
        <v>2099</v>
      </c>
      <c r="C182" t="s">
        <v>1751</v>
      </c>
      <c r="D182" s="8">
        <v>4</v>
      </c>
      <c r="E182" s="9">
        <v>533.45</v>
      </c>
      <c r="F182" s="8">
        <v>1</v>
      </c>
      <c r="G182" s="10"/>
      <c r="H182" s="9" t="str">
        <f>IF(G182="","",E182*G182)</f>
        <v/>
      </c>
      <c r="I182" s="11" t="str">
        <f>HYPERLINK("https://optomposuda.ru/product/blyudo-na-nozhke-barokko-20-sm","открыть")</f>
        <v>открыть</v>
      </c>
    </row>
    <row r="183" spans="1:9" x14ac:dyDescent="0.25">
      <c r="A183" t="s">
        <v>2100</v>
      </c>
      <c r="B183" t="s">
        <v>2101</v>
      </c>
      <c r="C183" t="s">
        <v>1751</v>
      </c>
      <c r="D183" s="8">
        <v>4</v>
      </c>
      <c r="E183" s="9">
        <v>970.88</v>
      </c>
      <c r="F183" s="8">
        <v>1</v>
      </c>
      <c r="G183" s="10"/>
      <c r="H183" s="9" t="str">
        <f>IF(G183="","",E183*G183)</f>
        <v/>
      </c>
      <c r="I183" s="11" t="str">
        <f>HYPERLINK("https://optomposuda.ru/product/blyudo-na-nozhke-barokko-30-sm","открыть")</f>
        <v>открыть</v>
      </c>
    </row>
    <row r="184" spans="1:9" x14ac:dyDescent="0.25">
      <c r="A184" t="s">
        <v>2102</v>
      </c>
      <c r="B184" t="s">
        <v>2103</v>
      </c>
      <c r="C184" t="s">
        <v>1751</v>
      </c>
      <c r="D184" s="8">
        <v>4</v>
      </c>
      <c r="E184" s="9">
        <v>404.88</v>
      </c>
      <c r="F184" s="8">
        <v>193</v>
      </c>
      <c r="G184" s="10"/>
      <c r="H184" s="9" t="str">
        <f>IF(G184="","",E184*G184)</f>
        <v/>
      </c>
      <c r="I184" s="11" t="str">
        <f>HYPERLINK("https://optomposuda.ru/product/blyudo-na-nozhke-burgundskaya-kuvshinka-16-sm","открыть")</f>
        <v>открыть</v>
      </c>
    </row>
    <row r="185" spans="1:9" x14ac:dyDescent="0.25">
      <c r="A185" t="s">
        <v>2104</v>
      </c>
      <c r="B185" t="s">
        <v>2105</v>
      </c>
      <c r="C185" t="s">
        <v>1751</v>
      </c>
      <c r="D185" s="8">
        <v>4</v>
      </c>
      <c r="E185" s="9">
        <v>453.96</v>
      </c>
      <c r="F185" s="8">
        <v>83</v>
      </c>
      <c r="G185" s="10"/>
      <c r="H185" s="9" t="str">
        <f>IF(G185="","",E185*G185)</f>
        <v/>
      </c>
      <c r="I185" s="11" t="str">
        <f>HYPERLINK("https://optomposuda.ru/product/blyudo-na-nozhke-burgundskaya-kuvshinka-21-sm","открыть")</f>
        <v>открыть</v>
      </c>
    </row>
    <row r="186" spans="1:9" x14ac:dyDescent="0.25">
      <c r="A186" t="s">
        <v>2106</v>
      </c>
      <c r="B186" t="s">
        <v>2107</v>
      </c>
      <c r="C186" t="s">
        <v>1751</v>
      </c>
      <c r="D186" s="8">
        <v>4</v>
      </c>
      <c r="E186" s="9">
        <v>625.73</v>
      </c>
      <c r="F186" s="8">
        <v>24</v>
      </c>
      <c r="G186" s="10"/>
      <c r="H186" s="9" t="str">
        <f>IF(G186="","",E186*G186)</f>
        <v/>
      </c>
      <c r="I186" s="11" t="str">
        <f>HYPERLINK("https://optomposuda.ru/product/blyudo-na-nozhke-burgundskaya-kuvshinka-28-sm","открыть")</f>
        <v>открыть</v>
      </c>
    </row>
    <row r="187" spans="1:9" x14ac:dyDescent="0.25">
      <c r="A187" t="s">
        <v>2108</v>
      </c>
      <c r="B187" t="s">
        <v>2109</v>
      </c>
      <c r="C187" t="s">
        <v>1751</v>
      </c>
      <c r="D187" s="8">
        <v>4</v>
      </c>
      <c r="E187" s="9">
        <v>1137.08</v>
      </c>
      <c r="F187" s="8">
        <v>256</v>
      </c>
      <c r="G187" s="10"/>
      <c r="H187" s="9" t="str">
        <f>IF(G187="","",E187*G187)</f>
        <v/>
      </c>
      <c r="I187" s="11" t="str">
        <f>HYPERLINK("https://optomposuda.ru/product/blyudo-na-nozhke-vdohnovenie-zelenoe-krugloe-28cm-vysota-14-5sm-16468a-1","открыть")</f>
        <v>открыть</v>
      </c>
    </row>
    <row r="188" spans="1:9" x14ac:dyDescent="0.25">
      <c r="A188" t="s">
        <v>2110</v>
      </c>
      <c r="B188" t="s">
        <v>2111</v>
      </c>
      <c r="C188" t="s">
        <v>1751</v>
      </c>
      <c r="D188" s="8">
        <v>4</v>
      </c>
      <c r="E188" s="9">
        <v>850.45</v>
      </c>
      <c r="F188" s="8">
        <v>284</v>
      </c>
      <c r="G188" s="10"/>
      <c r="H188" s="9" t="str">
        <f>IF(G188="","",E188*G188)</f>
        <v/>
      </c>
      <c r="I188" s="11" t="str">
        <f>HYPERLINK("https://optomposuda.ru/product/blyudo-na-nozhke-vdohnovenie-zelenoe-ovalnoe-22cm-16470a-1","открыть")</f>
        <v>открыть</v>
      </c>
    </row>
    <row r="189" spans="1:9" x14ac:dyDescent="0.25">
      <c r="A189" t="s">
        <v>2112</v>
      </c>
      <c r="B189" t="s">
        <v>2113</v>
      </c>
      <c r="C189" t="s">
        <v>1751</v>
      </c>
      <c r="D189" s="8">
        <v>6</v>
      </c>
      <c r="E189" s="9">
        <v>1137.08</v>
      </c>
      <c r="F189" s="8">
        <v>218</v>
      </c>
      <c r="G189" s="10"/>
      <c r="H189" s="9" t="str">
        <f>IF(G189="","",E189*G189)</f>
        <v/>
      </c>
      <c r="I189" s="11" t="str">
        <f>HYPERLINK("https://optomposuda.ru/product/blyudo-na-nozhke-vdohnovenie-krugloe-28cm-n-14-5sm-16468a-339-063","открыть")</f>
        <v>открыть</v>
      </c>
    </row>
    <row r="190" spans="1:9" x14ac:dyDescent="0.25">
      <c r="A190" t="s">
        <v>2114</v>
      </c>
      <c r="B190" t="s">
        <v>2115</v>
      </c>
      <c r="C190" t="s">
        <v>1751</v>
      </c>
      <c r="D190" s="8">
        <v>4</v>
      </c>
      <c r="E190" s="9">
        <v>404.89</v>
      </c>
      <c r="F190" s="8">
        <v>700</v>
      </c>
      <c r="G190" s="10"/>
      <c r="H190" s="9" t="str">
        <f>IF(G190="","",E190*G190)</f>
        <v/>
      </c>
      <c r="I190" s="11" t="str">
        <f>HYPERLINK("https://optomposuda.ru/product/blyudo-na-nozhke-zolotaya-kuvshinka-16-sm","открыть")</f>
        <v>открыть</v>
      </c>
    </row>
    <row r="191" spans="1:9" x14ac:dyDescent="0.25">
      <c r="A191" t="s">
        <v>2116</v>
      </c>
      <c r="B191" t="s">
        <v>2117</v>
      </c>
      <c r="C191" t="s">
        <v>1751</v>
      </c>
      <c r="D191" s="8">
        <v>4</v>
      </c>
      <c r="E191" s="9">
        <v>676.04</v>
      </c>
      <c r="F191" s="8">
        <v>98</v>
      </c>
      <c r="G191" s="10"/>
      <c r="H191" s="9" t="str">
        <f>IF(G191="","",E191*G191)</f>
        <v/>
      </c>
      <c r="I191" s="11" t="str">
        <f>HYPERLINK("https://optomposuda.ru/product/blyudo-na-nozhke-zolotaya-kuvshinka-21-sm","открыть")</f>
        <v>открыть</v>
      </c>
    </row>
    <row r="192" spans="1:9" x14ac:dyDescent="0.25">
      <c r="A192" t="s">
        <v>2118</v>
      </c>
      <c r="B192" t="s">
        <v>2119</v>
      </c>
      <c r="C192" t="s">
        <v>1751</v>
      </c>
      <c r="D192" s="8">
        <v>4</v>
      </c>
      <c r="E192" s="9">
        <v>930.46</v>
      </c>
      <c r="F192" s="8">
        <v>390</v>
      </c>
      <c r="G192" s="10"/>
      <c r="H192" s="9" t="str">
        <f>IF(G192="","",E192*G192)</f>
        <v/>
      </c>
      <c r="I192" s="11" t="str">
        <f>HYPERLINK("https://optomposuda.ru/product/blyudo-na-nozhke-zolotaya-kuvshinka-28-sm","открыть")</f>
        <v>открыть</v>
      </c>
    </row>
    <row r="193" spans="1:9" x14ac:dyDescent="0.25">
      <c r="A193" t="s">
        <v>2120</v>
      </c>
      <c r="B193" t="s">
        <v>2121</v>
      </c>
      <c r="C193" t="s">
        <v>1751</v>
      </c>
      <c r="D193" s="8">
        <v>4</v>
      </c>
      <c r="E193" s="9">
        <v>669.76</v>
      </c>
      <c r="F193" s="8">
        <v>9</v>
      </c>
      <c r="G193" s="10"/>
      <c r="H193" s="9" t="str">
        <f>IF(G193="","",E193*G193)</f>
        <v/>
      </c>
      <c r="I193" s="11" t="str">
        <f>HYPERLINK("https://optomposuda.ru/product/blyudo-na-nozhke-kapuchino-mokko-21-sm","открыть")</f>
        <v>открыть</v>
      </c>
    </row>
    <row r="194" spans="1:9" x14ac:dyDescent="0.25">
      <c r="A194" t="s">
        <v>2122</v>
      </c>
      <c r="B194" t="s">
        <v>2123</v>
      </c>
      <c r="C194" t="s">
        <v>1751</v>
      </c>
      <c r="D194" s="8">
        <v>4</v>
      </c>
      <c r="E194" s="9">
        <v>877.23</v>
      </c>
      <c r="F194" s="8">
        <v>332</v>
      </c>
      <c r="G194" s="10"/>
      <c r="H194" s="9" t="str">
        <f>IF(G194="","",E194*G194)</f>
        <v/>
      </c>
      <c r="I194" s="11" t="str">
        <f>HYPERLINK("https://optomposuda.ru/product/blyudo-na-nozhke-korally-ayvori-28-sm","открыть")</f>
        <v>открыть</v>
      </c>
    </row>
    <row r="195" spans="1:9" x14ac:dyDescent="0.25">
      <c r="A195" t="s">
        <v>2124</v>
      </c>
      <c r="B195" t="s">
        <v>2125</v>
      </c>
      <c r="C195" t="s">
        <v>1751</v>
      </c>
      <c r="D195" s="8">
        <v>4</v>
      </c>
      <c r="E195" s="9">
        <v>404.89</v>
      </c>
      <c r="F195" s="8">
        <v>371</v>
      </c>
      <c r="G195" s="10"/>
      <c r="H195" s="9" t="str">
        <f>IF(G195="","",E195*G195)</f>
        <v/>
      </c>
      <c r="I195" s="11" t="str">
        <f>HYPERLINK("https://optomposuda.ru/product/blyudo-na-nozhke-kuvshinka-indiana-16-sm","открыть")</f>
        <v>открыть</v>
      </c>
    </row>
    <row r="196" spans="1:9" x14ac:dyDescent="0.25">
      <c r="A196" t="s">
        <v>2126</v>
      </c>
      <c r="B196" t="s">
        <v>2127</v>
      </c>
      <c r="C196" t="s">
        <v>1751</v>
      </c>
      <c r="D196" s="8">
        <v>4</v>
      </c>
      <c r="E196" s="9">
        <v>453.96</v>
      </c>
      <c r="F196" s="8">
        <v>395</v>
      </c>
      <c r="G196" s="10"/>
      <c r="H196" s="9" t="str">
        <f>IF(G196="","",E196*G196)</f>
        <v/>
      </c>
      <c r="I196" s="11" t="str">
        <f>HYPERLINK("https://optomposuda.ru/product/blyudo-na-nozhke-kuvshinka-indiana-21-sm","открыть")</f>
        <v>открыть</v>
      </c>
    </row>
    <row r="197" spans="1:9" x14ac:dyDescent="0.25">
      <c r="A197" t="s">
        <v>2128</v>
      </c>
      <c r="B197" t="s">
        <v>2129</v>
      </c>
      <c r="C197" t="s">
        <v>1751</v>
      </c>
      <c r="D197" s="8">
        <v>1</v>
      </c>
      <c r="E197" s="9">
        <v>920.91</v>
      </c>
      <c r="F197" s="8">
        <v>176</v>
      </c>
      <c r="G197" s="10"/>
      <c r="H197" s="9" t="str">
        <f>IF(G197="","",E197*G197)</f>
        <v/>
      </c>
      <c r="I197" s="11" t="str">
        <f>HYPERLINK("https://optomposuda.ru/product/blyudo-na-nozhke-kuvshinka-indiana-28-sm-4-art-16579a-4","открыть")</f>
        <v>открыть</v>
      </c>
    </row>
    <row r="198" spans="1:9" x14ac:dyDescent="0.25">
      <c r="A198" t="s">
        <v>2130</v>
      </c>
      <c r="B198" t="s">
        <v>2131</v>
      </c>
      <c r="C198" t="s">
        <v>1751</v>
      </c>
      <c r="D198" s="8">
        <v>4</v>
      </c>
      <c r="E198" s="9">
        <v>484.83</v>
      </c>
      <c r="F198" s="8">
        <v>215</v>
      </c>
      <c r="G198" s="10"/>
      <c r="H198" s="9" t="str">
        <f>IF(G198="","",E198*G198)</f>
        <v/>
      </c>
      <c r="I198" s="11" t="str">
        <f>HYPERLINK("https://optomposuda.ru/product/blyudo-na-nozhke-kuvshinka-nimfeya-16-sm","открыть")</f>
        <v>открыть</v>
      </c>
    </row>
    <row r="199" spans="1:9" x14ac:dyDescent="0.25">
      <c r="A199" t="s">
        <v>2132</v>
      </c>
      <c r="B199" t="s">
        <v>2133</v>
      </c>
      <c r="C199" t="s">
        <v>1751</v>
      </c>
      <c r="D199" s="8">
        <v>4</v>
      </c>
      <c r="E199" s="9">
        <v>666.12</v>
      </c>
      <c r="F199" s="8">
        <v>181</v>
      </c>
      <c r="G199" s="10"/>
      <c r="H199" s="9" t="str">
        <f>IF(G199="","",E199*G199)</f>
        <v/>
      </c>
      <c r="I199" s="11" t="str">
        <f>HYPERLINK("https://optomposuda.ru/product/blyudo-na-nozhke-kuvshinka-nimfeya-21-sm","открыть")</f>
        <v>открыть</v>
      </c>
    </row>
    <row r="200" spans="1:9" x14ac:dyDescent="0.25">
      <c r="A200" t="s">
        <v>2134</v>
      </c>
      <c r="B200" t="s">
        <v>2135</v>
      </c>
      <c r="C200" t="s">
        <v>1751</v>
      </c>
      <c r="D200" s="8">
        <v>4</v>
      </c>
      <c r="E200" s="9">
        <v>930.46</v>
      </c>
      <c r="F200" s="8">
        <v>259</v>
      </c>
      <c r="G200" s="10"/>
      <c r="H200" s="9" t="str">
        <f>IF(G200="","",E200*G200)</f>
        <v/>
      </c>
      <c r="I200" s="11" t="str">
        <f>HYPERLINK("https://optomposuda.ru/product/blyudo-na-nozhke-kuvshinka-nimfeya-28-sm","открыть")</f>
        <v>открыть</v>
      </c>
    </row>
    <row r="201" spans="1:9" x14ac:dyDescent="0.25">
      <c r="A201" t="s">
        <v>2136</v>
      </c>
      <c r="B201" t="s">
        <v>2137</v>
      </c>
      <c r="C201" t="s">
        <v>1751</v>
      </c>
      <c r="D201" s="8">
        <v>4</v>
      </c>
      <c r="E201" s="9">
        <v>877.23</v>
      </c>
      <c r="F201" s="8">
        <v>266</v>
      </c>
      <c r="G201" s="10"/>
      <c r="H201" s="9" t="str">
        <f>IF(G201="","",E201*G201)</f>
        <v/>
      </c>
      <c r="I201" s="11" t="str">
        <f>HYPERLINK("https://optomposuda.ru/product/blyudo-na-nozhke-mokko-kapuchino-28-sm","открыть")</f>
        <v>открыть</v>
      </c>
    </row>
    <row r="202" spans="1:9" x14ac:dyDescent="0.25">
      <c r="A202" t="s">
        <v>2138</v>
      </c>
      <c r="B202" t="s">
        <v>2139</v>
      </c>
      <c r="C202" t="s">
        <v>1751</v>
      </c>
      <c r="D202" s="8">
        <v>1</v>
      </c>
      <c r="E202" s="9">
        <v>973.48</v>
      </c>
      <c r="F202" s="8">
        <v>93</v>
      </c>
      <c r="G202" s="10"/>
      <c r="H202" s="9" t="str">
        <f>IF(G202="","",E202*G202)</f>
        <v/>
      </c>
      <c r="I202" s="11" t="str">
        <f>HYPERLINK("https://optomposuda.ru/product/blyudo-na-nozhke-rubin-30-sm-vysota-nozhki-6sm-kor-4sht-18410-a-2","открыть")</f>
        <v>открыть</v>
      </c>
    </row>
    <row r="203" spans="1:9" x14ac:dyDescent="0.25">
      <c r="A203" t="s">
        <v>2140</v>
      </c>
      <c r="B203" t="s">
        <v>2141</v>
      </c>
      <c r="C203" t="s">
        <v>1751</v>
      </c>
      <c r="D203" s="8">
        <v>6</v>
      </c>
      <c r="E203" s="9">
        <v>629.96</v>
      </c>
      <c r="F203" s="8">
        <v>340</v>
      </c>
      <c r="G203" s="10"/>
      <c r="H203" s="9" t="str">
        <f>IF(G203="","",E203*G203)</f>
        <v/>
      </c>
      <c r="I203" s="11" t="str">
        <f>HYPERLINK("https://optomposuda.ru/product/blyudo-na-nozhke-feyerverk-21-cm-krasnyy","открыть")</f>
        <v>открыть</v>
      </c>
    </row>
    <row r="204" spans="1:9" x14ac:dyDescent="0.25">
      <c r="A204" t="s">
        <v>2142</v>
      </c>
      <c r="B204" t="s">
        <v>2143</v>
      </c>
      <c r="C204" t="s">
        <v>1751</v>
      </c>
      <c r="D204" s="8">
        <v>4</v>
      </c>
      <c r="E204" s="9">
        <v>629.96</v>
      </c>
      <c r="F204" s="8">
        <v>216</v>
      </c>
      <c r="G204" s="10"/>
      <c r="H204" s="9" t="str">
        <f>IF(G204="","",E204*G204)</f>
        <v/>
      </c>
      <c r="I204" s="11" t="str">
        <f>HYPERLINK("https://optomposuda.ru/product/blyudo-na-nozhke-feyerverk-21-cm-siniy","открыть")</f>
        <v>открыть</v>
      </c>
    </row>
    <row r="205" spans="1:9" x14ac:dyDescent="0.25">
      <c r="A205" t="s">
        <v>2144</v>
      </c>
      <c r="B205" t="s">
        <v>2145</v>
      </c>
      <c r="C205" t="s">
        <v>1751</v>
      </c>
      <c r="D205" s="8">
        <v>6</v>
      </c>
      <c r="E205" s="9">
        <v>754.05</v>
      </c>
      <c r="F205" s="8">
        <v>212</v>
      </c>
      <c r="G205" s="10"/>
      <c r="H205" s="9" t="str">
        <f>IF(G205="","",E205*G205)</f>
        <v/>
      </c>
      <c r="I205" s="11" t="str">
        <f>HYPERLINK("https://optomposuda.ru/product/blyudo-na-nozhke-feyerverk-21-cm-shampan","открыть")</f>
        <v>открыть</v>
      </c>
    </row>
    <row r="206" spans="1:9" x14ac:dyDescent="0.25">
      <c r="A206" t="s">
        <v>2146</v>
      </c>
      <c r="B206" t="s">
        <v>2147</v>
      </c>
      <c r="C206" t="s">
        <v>1751</v>
      </c>
      <c r="D206" s="8">
        <v>6</v>
      </c>
      <c r="E206" s="9">
        <v>955.62</v>
      </c>
      <c r="F206" s="8">
        <v>15</v>
      </c>
      <c r="G206" s="10"/>
      <c r="H206" s="9" t="str">
        <f>IF(G206="","",E206*G206)</f>
        <v/>
      </c>
      <c r="I206" s="11" t="str">
        <f>HYPERLINK("https://optomposuda.ru/product/blyudo-na-nozhke-galaxy-blue-30cm-339-104-0541","открыть")</f>
        <v>открыть</v>
      </c>
    </row>
    <row r="207" spans="1:9" x14ac:dyDescent="0.25">
      <c r="A207" t="s">
        <v>2148</v>
      </c>
      <c r="B207" t="s">
        <v>2149</v>
      </c>
      <c r="C207" t="s">
        <v>1751</v>
      </c>
      <c r="D207" s="8">
        <v>6</v>
      </c>
      <c r="E207" s="9">
        <v>955.62</v>
      </c>
      <c r="F207" s="8">
        <v>30</v>
      </c>
      <c r="G207" s="10"/>
      <c r="H207" s="9" t="str">
        <f>IF(G207="","",E207*G207)</f>
        <v/>
      </c>
      <c r="I207" s="11" t="str">
        <f>HYPERLINK("https://optomposuda.ru/product/blyudo-na-nozhke-galaxy-brown-30cm-15140-339-054","открыть")</f>
        <v>открыть</v>
      </c>
    </row>
    <row r="208" spans="1:9" x14ac:dyDescent="0.25">
      <c r="A208" t="s">
        <v>2150</v>
      </c>
      <c r="B208" t="s">
        <v>2151</v>
      </c>
      <c r="C208" t="s">
        <v>1751</v>
      </c>
      <c r="D208" s="8">
        <v>1</v>
      </c>
      <c r="E208" s="9">
        <v>1252.98</v>
      </c>
      <c r="F208" s="8">
        <v>287</v>
      </c>
      <c r="G208" s="10"/>
      <c r="H208" s="9" t="str">
        <f>IF(G208="","",E208*G208)</f>
        <v/>
      </c>
      <c r="I208" s="11" t="str">
        <f>HYPERLINK("https://optomposuda.ru/product/blyudo-na-nozhke-inspiration-green-ovalnoe-30cm","открыть")</f>
        <v>открыть</v>
      </c>
    </row>
    <row r="209" spans="1:9" x14ac:dyDescent="0.25">
      <c r="A209" t="s">
        <v>2152</v>
      </c>
      <c r="B209" t="s">
        <v>2153</v>
      </c>
      <c r="C209" t="s">
        <v>1751</v>
      </c>
      <c r="D209" s="8">
        <v>3</v>
      </c>
      <c r="E209" s="9">
        <v>825.13</v>
      </c>
      <c r="F209" s="8">
        <v>199</v>
      </c>
      <c r="G209" s="10"/>
      <c r="H209" s="9" t="str">
        <f>IF(G209="","",E209*G209)</f>
        <v/>
      </c>
      <c r="I209" s="11" t="str">
        <f>HYPERLINK("https://optomposuda.ru/product/blyudo-na-nozhke-inspiration-ovalnoe-22cm-16470-a-339-061","открыть")</f>
        <v>открыть</v>
      </c>
    </row>
    <row r="210" spans="1:9" x14ac:dyDescent="0.25">
      <c r="A210" t="s">
        <v>2154</v>
      </c>
      <c r="B210" t="s">
        <v>2155</v>
      </c>
      <c r="C210" t="s">
        <v>1751</v>
      </c>
      <c r="D210" s="8">
        <v>3</v>
      </c>
      <c r="E210" s="9">
        <v>1252.98</v>
      </c>
      <c r="F210" s="8">
        <v>198</v>
      </c>
      <c r="G210" s="10"/>
      <c r="H210" s="9" t="str">
        <f>IF(G210="","",E210*G210)</f>
        <v/>
      </c>
      <c r="I210" s="11" t="str">
        <f>HYPERLINK("https://optomposuda.ru/product/blyudo-na-nozhke-inspiration-ovalnoe-30cm-3-16471a-339-062","открыть")</f>
        <v>открыть</v>
      </c>
    </row>
    <row r="211" spans="1:9" x14ac:dyDescent="0.25">
      <c r="A211" t="s">
        <v>2156</v>
      </c>
      <c r="B211" t="s">
        <v>2157</v>
      </c>
      <c r="C211" t="s">
        <v>1751</v>
      </c>
      <c r="D211" s="8">
        <v>4</v>
      </c>
      <c r="E211" s="9">
        <v>631.18</v>
      </c>
      <c r="F211" s="8">
        <v>277</v>
      </c>
      <c r="G211" s="10"/>
      <c r="H211" s="9" t="str">
        <f>IF(G211="","",E211*G211)</f>
        <v/>
      </c>
      <c r="I211" s="11" t="str">
        <f>HYPERLINK("https://optomposuda.ru/product/blyudo-na-nozhke-victoria-azzurro-16-sm","открыть")</f>
        <v>открыть</v>
      </c>
    </row>
    <row r="212" spans="1:9" x14ac:dyDescent="0.25">
      <c r="A212" t="s">
        <v>2158</v>
      </c>
      <c r="B212" t="s">
        <v>2159</v>
      </c>
      <c r="C212" t="s">
        <v>1751</v>
      </c>
      <c r="D212" s="8">
        <v>4</v>
      </c>
      <c r="E212" s="9">
        <v>1054.47</v>
      </c>
      <c r="F212" s="8">
        <v>250</v>
      </c>
      <c r="G212" s="10"/>
      <c r="H212" s="9" t="str">
        <f>IF(G212="","",E212*G212)</f>
        <v/>
      </c>
      <c r="I212" s="11" t="str">
        <f>HYPERLINK("https://optomposuda.ru/product/blyudo-na-nozhke-victoria-azzurro-28-sm","открыть")</f>
        <v>открыть</v>
      </c>
    </row>
    <row r="213" spans="1:9" x14ac:dyDescent="0.25">
      <c r="A213" t="s">
        <v>2160</v>
      </c>
      <c r="B213" t="s">
        <v>2161</v>
      </c>
      <c r="C213" t="s">
        <v>1751</v>
      </c>
      <c r="D213" s="8">
        <v>4</v>
      </c>
      <c r="E213" s="9">
        <v>598.34</v>
      </c>
      <c r="F213" s="8">
        <v>284</v>
      </c>
      <c r="G213" s="10"/>
      <c r="H213" s="9" t="str">
        <f>IF(G213="","",E213*G213)</f>
        <v/>
      </c>
      <c r="I213" s="11" t="str">
        <f>HYPERLINK("https://optomposuda.ru/product/blyudo-na-nozhke-victoria-marrone-16-sm","открыть")</f>
        <v>открыть</v>
      </c>
    </row>
    <row r="214" spans="1:9" x14ac:dyDescent="0.25">
      <c r="A214" t="s">
        <v>2162</v>
      </c>
      <c r="B214" t="s">
        <v>2163</v>
      </c>
      <c r="C214" t="s">
        <v>1751</v>
      </c>
      <c r="D214" s="8">
        <v>4</v>
      </c>
      <c r="E214" s="9">
        <v>631.18</v>
      </c>
      <c r="F214" s="8">
        <v>296</v>
      </c>
      <c r="G214" s="10"/>
      <c r="H214" s="9" t="str">
        <f>IF(G214="","",E214*G214)</f>
        <v/>
      </c>
      <c r="I214" s="11" t="str">
        <f>HYPERLINK("https://optomposuda.ru/product/blyudo-na-nozhke-victoria-regia-16-sm","открыть")</f>
        <v>открыть</v>
      </c>
    </row>
    <row r="215" spans="1:9" x14ac:dyDescent="0.25">
      <c r="A215" t="s">
        <v>2164</v>
      </c>
      <c r="B215" t="s">
        <v>2165</v>
      </c>
      <c r="C215" t="s">
        <v>1751</v>
      </c>
      <c r="D215" s="8">
        <v>5</v>
      </c>
      <c r="E215" s="9">
        <v>1197.82</v>
      </c>
      <c r="F215" s="8">
        <v>69</v>
      </c>
      <c r="G215" s="10"/>
      <c r="H215" s="9" t="str">
        <f>IF(G215="","",E215*G215)</f>
        <v/>
      </c>
      <c r="I215" s="11" t="str">
        <f>HYPERLINK("https://optomposuda.ru/product/blyudo-na-nozhke-15-sm-silver-frost","открыть")</f>
        <v>открыть</v>
      </c>
    </row>
    <row r="216" spans="1:9" x14ac:dyDescent="0.25">
      <c r="A216" t="s">
        <v>2166</v>
      </c>
      <c r="B216" t="s">
        <v>2167</v>
      </c>
      <c r="C216" t="s">
        <v>1751</v>
      </c>
      <c r="D216" s="8">
        <v>5</v>
      </c>
      <c r="E216" s="9">
        <v>1218.13</v>
      </c>
      <c r="F216" s="8">
        <v>211</v>
      </c>
      <c r="G216" s="10"/>
      <c r="H216" s="9" t="str">
        <f>IF(G216="","",E216*G216)</f>
        <v/>
      </c>
      <c r="I216" s="11" t="str">
        <f>HYPERLINK("https://optomposuda.ru/product/blyudo-na-nozhke-16-sm-gelios","открыть")</f>
        <v>открыть</v>
      </c>
    </row>
    <row r="217" spans="1:9" x14ac:dyDescent="0.25">
      <c r="A217" t="s">
        <v>2168</v>
      </c>
      <c r="B217" t="s">
        <v>2169</v>
      </c>
      <c r="C217" t="s">
        <v>1751</v>
      </c>
      <c r="D217" s="8">
        <v>3</v>
      </c>
      <c r="E217" s="9">
        <v>642.02</v>
      </c>
      <c r="F217" s="8">
        <v>247</v>
      </c>
      <c r="G217" s="10"/>
      <c r="H217" s="9" t="str">
        <f>IF(G217="","",E217*G217)</f>
        <v/>
      </c>
      <c r="I217" s="11" t="str">
        <f>HYPERLINK("https://optomposuda.ru/product/blyudo-na-nozhke-20-sm-inspiration-amber-16470a-br","открыть")</f>
        <v>открыть</v>
      </c>
    </row>
    <row r="218" spans="1:9" x14ac:dyDescent="0.25">
      <c r="A218" t="s">
        <v>2170</v>
      </c>
      <c r="B218" t="s">
        <v>2171</v>
      </c>
      <c r="C218" t="s">
        <v>1751</v>
      </c>
      <c r="D218" s="8">
        <v>4</v>
      </c>
      <c r="E218" s="9">
        <v>676.66</v>
      </c>
      <c r="F218" s="8">
        <v>105</v>
      </c>
      <c r="G218" s="10"/>
      <c r="H218" s="9" t="str">
        <f>IF(G218="","",E218*G218)</f>
        <v/>
      </c>
      <c r="I218" s="11" t="str">
        <f>HYPERLINK("https://optomposuda.ru/product/blyudo-na-nozhke-21-sm-agava","открыть")</f>
        <v>открыть</v>
      </c>
    </row>
    <row r="219" spans="1:9" x14ac:dyDescent="0.25">
      <c r="A219" t="s">
        <v>2172</v>
      </c>
      <c r="B219" t="s">
        <v>2173</v>
      </c>
      <c r="C219" t="s">
        <v>1751</v>
      </c>
      <c r="D219" s="8">
        <v>3</v>
      </c>
      <c r="E219" s="9">
        <v>1522.66</v>
      </c>
      <c r="F219" s="8">
        <v>201</v>
      </c>
      <c r="G219" s="10"/>
      <c r="H219" s="9" t="str">
        <f>IF(G219="","",E219*G219)</f>
        <v/>
      </c>
      <c r="I219" s="11" t="str">
        <f>HYPERLINK("https://optomposuda.ru/product/blyudo-na-nozhke-21-sm-gelios","открыть")</f>
        <v>открыть</v>
      </c>
    </row>
    <row r="220" spans="1:9" x14ac:dyDescent="0.25">
      <c r="A220" t="s">
        <v>2174</v>
      </c>
      <c r="B220" t="s">
        <v>2175</v>
      </c>
      <c r="C220" t="s">
        <v>1751</v>
      </c>
      <c r="D220" s="8">
        <v>4</v>
      </c>
      <c r="E220" s="9">
        <v>321.57</v>
      </c>
      <c r="F220" s="8">
        <v>2</v>
      </c>
      <c r="G220" s="10"/>
      <c r="H220" s="9" t="str">
        <f>IF(G220="","",E220*G220)</f>
        <v/>
      </c>
      <c r="I220" s="11" t="str">
        <f>HYPERLINK("https://optomposuda.ru/product/blyudo-na-nozhke-21-sm-granatovoe-sechenie","открыть")</f>
        <v>открыть</v>
      </c>
    </row>
    <row r="221" spans="1:9" x14ac:dyDescent="0.25">
      <c r="A221" t="s">
        <v>2176</v>
      </c>
      <c r="B221" t="s">
        <v>2177</v>
      </c>
      <c r="C221" t="s">
        <v>1751</v>
      </c>
      <c r="D221" s="8">
        <v>4</v>
      </c>
      <c r="E221" s="9">
        <v>559.76</v>
      </c>
      <c r="F221" s="8">
        <v>245</v>
      </c>
      <c r="G221" s="10"/>
      <c r="H221" s="9" t="str">
        <f>IF(G221="","",E221*G221)</f>
        <v/>
      </c>
      <c r="I221" s="11" t="str">
        <f>HYPERLINK("https://optomposuda.ru/product/blyudo-na-nozhke-21-sm-divo","открыть")</f>
        <v>открыть</v>
      </c>
    </row>
    <row r="222" spans="1:9" x14ac:dyDescent="0.25">
      <c r="A222" t="s">
        <v>2178</v>
      </c>
      <c r="B222" t="s">
        <v>2179</v>
      </c>
      <c r="C222" t="s">
        <v>1751</v>
      </c>
      <c r="D222" s="8">
        <v>3</v>
      </c>
      <c r="E222" s="9">
        <v>1664.77</v>
      </c>
      <c r="F222" s="8">
        <v>118</v>
      </c>
      <c r="G222" s="10"/>
      <c r="H222" s="9" t="str">
        <f>IF(G222="","",E222*G222)</f>
        <v/>
      </c>
      <c r="I222" s="11" t="str">
        <f>HYPERLINK("https://optomposuda.ru/product/blyudo-na-nozhke-21-sm-lunnyy-svet","открыть")</f>
        <v>открыть</v>
      </c>
    </row>
    <row r="223" spans="1:9" x14ac:dyDescent="0.25">
      <c r="A223" t="s">
        <v>2180</v>
      </c>
      <c r="B223" t="s">
        <v>2181</v>
      </c>
      <c r="C223" t="s">
        <v>1751</v>
      </c>
      <c r="D223" s="8">
        <v>4</v>
      </c>
      <c r="E223" s="9">
        <v>604.16</v>
      </c>
      <c r="F223" s="8">
        <v>210</v>
      </c>
      <c r="G223" s="10"/>
      <c r="H223" s="9" t="str">
        <f>IF(G223="","",E223*G223)</f>
        <v/>
      </c>
      <c r="I223" s="11" t="str">
        <f>HYPERLINK("https://optomposuda.ru/product/blyudo-na-nozhke-21-sm-oreol","открыть")</f>
        <v>открыть</v>
      </c>
    </row>
    <row r="224" spans="1:9" x14ac:dyDescent="0.25">
      <c r="A224" t="s">
        <v>2182</v>
      </c>
      <c r="B224" t="s">
        <v>2183</v>
      </c>
      <c r="C224" t="s">
        <v>1751</v>
      </c>
      <c r="D224" s="8">
        <v>3</v>
      </c>
      <c r="E224" s="9">
        <v>690.27</v>
      </c>
      <c r="F224" s="8">
        <v>218</v>
      </c>
      <c r="G224" s="10"/>
      <c r="H224" s="9" t="str">
        <f>IF(G224="","",E224*G224)</f>
        <v/>
      </c>
      <c r="I224" s="11" t="str">
        <f>HYPERLINK("https://optomposuda.ru/product/blyudo-na-nozhke-21-sm-oro","открыть")</f>
        <v>открыть</v>
      </c>
    </row>
    <row r="225" spans="1:9" x14ac:dyDescent="0.25">
      <c r="A225" t="s">
        <v>2184</v>
      </c>
      <c r="B225" t="s">
        <v>2185</v>
      </c>
      <c r="C225" t="s">
        <v>1751</v>
      </c>
      <c r="D225" s="8">
        <v>4</v>
      </c>
      <c r="E225" s="9">
        <v>498.43</v>
      </c>
      <c r="F225" s="8">
        <v>214</v>
      </c>
      <c r="G225" s="10"/>
      <c r="H225" s="9" t="str">
        <f>IF(G225="","",E225*G225)</f>
        <v/>
      </c>
      <c r="I225" s="11" t="str">
        <f>HYPERLINK("https://optomposuda.ru/product/blyudo-na-nozhke-21-sm-rio","открыть")</f>
        <v>открыть</v>
      </c>
    </row>
    <row r="226" spans="1:9" x14ac:dyDescent="0.25">
      <c r="A226" t="s">
        <v>2186</v>
      </c>
      <c r="B226" t="s">
        <v>2187</v>
      </c>
      <c r="C226" t="s">
        <v>1751</v>
      </c>
      <c r="D226" s="8">
        <v>4</v>
      </c>
      <c r="E226" s="9">
        <v>1290.63</v>
      </c>
      <c r="F226" s="8">
        <v>97</v>
      </c>
      <c r="G226" s="10"/>
      <c r="H226" s="9" t="str">
        <f>IF(G226="","",E226*G226)</f>
        <v/>
      </c>
      <c r="I226" s="11" t="str">
        <f>HYPERLINK("https://optomposuda.ru/product/blyudo-na-nozhke-21-sm-silver-frost","открыть")</f>
        <v>открыть</v>
      </c>
    </row>
    <row r="227" spans="1:9" x14ac:dyDescent="0.25">
      <c r="A227" t="s">
        <v>2188</v>
      </c>
      <c r="B227" t="s">
        <v>2189</v>
      </c>
      <c r="C227" t="s">
        <v>1751</v>
      </c>
      <c r="D227" s="8">
        <v>4</v>
      </c>
      <c r="E227" s="9">
        <v>1513.96</v>
      </c>
      <c r="F227" s="8">
        <v>88</v>
      </c>
      <c r="G227" s="10"/>
      <c r="H227" s="9" t="str">
        <f>IF(G227="","",E227*G227)</f>
        <v/>
      </c>
      <c r="I227" s="11" t="str">
        <f>HYPERLINK("https://optomposuda.ru/product/blyudo-na-nozhke-24-sm-silver-frost","открыть")</f>
        <v>открыть</v>
      </c>
    </row>
    <row r="228" spans="1:9" x14ac:dyDescent="0.25">
      <c r="A228" t="s">
        <v>2190</v>
      </c>
      <c r="B228" t="s">
        <v>2191</v>
      </c>
      <c r="C228" t="s">
        <v>1751</v>
      </c>
      <c r="D228" s="8">
        <v>3</v>
      </c>
      <c r="E228" s="9">
        <v>1980.91</v>
      </c>
      <c r="F228" s="8">
        <v>116</v>
      </c>
      <c r="G228" s="10"/>
      <c r="H228" s="9" t="str">
        <f>IF(G228="","",E228*G228)</f>
        <v/>
      </c>
      <c r="I228" s="11" t="str">
        <f>HYPERLINK("https://optomposuda.ru/product/blyudo-na-nozhke-26-sm-gelios","открыть")</f>
        <v>открыть</v>
      </c>
    </row>
    <row r="229" spans="1:9" x14ac:dyDescent="0.25">
      <c r="A229" t="s">
        <v>2192</v>
      </c>
      <c r="B229" t="s">
        <v>2193</v>
      </c>
      <c r="C229" t="s">
        <v>1751</v>
      </c>
      <c r="D229" s="8">
        <v>3</v>
      </c>
      <c r="E229" s="9">
        <v>2009.91</v>
      </c>
      <c r="F229" s="8">
        <v>109</v>
      </c>
      <c r="G229" s="10"/>
      <c r="H229" s="9" t="str">
        <f>IF(G229="","",E229*G229)</f>
        <v/>
      </c>
      <c r="I229" s="11" t="str">
        <f>HYPERLINK("https://optomposuda.ru/product/blyudo-na-nozhke-26-sm-lunnyy-svet","открыть")</f>
        <v>открыть</v>
      </c>
    </row>
    <row r="230" spans="1:9" x14ac:dyDescent="0.25">
      <c r="A230" t="s">
        <v>2194</v>
      </c>
      <c r="B230" t="s">
        <v>2195</v>
      </c>
      <c r="C230" t="s">
        <v>1751</v>
      </c>
      <c r="D230" s="8">
        <v>4</v>
      </c>
      <c r="E230" s="9">
        <v>951.55</v>
      </c>
      <c r="F230" s="8">
        <v>140</v>
      </c>
      <c r="G230" s="10"/>
      <c r="H230" s="9" t="str">
        <f>IF(G230="","",E230*G230)</f>
        <v/>
      </c>
      <c r="I230" s="11" t="str">
        <f>HYPERLINK("https://optomposuda.ru/product/blyudo-na-nozhke-28-sm-agava","открыть")</f>
        <v>открыть</v>
      </c>
    </row>
    <row r="231" spans="1:9" x14ac:dyDescent="0.25">
      <c r="A231" t="s">
        <v>2196</v>
      </c>
      <c r="B231" t="s">
        <v>2197</v>
      </c>
      <c r="C231" t="s">
        <v>1751</v>
      </c>
      <c r="D231" s="8">
        <v>4</v>
      </c>
      <c r="E231" s="9">
        <v>866.97</v>
      </c>
      <c r="F231" s="8">
        <v>210</v>
      </c>
      <c r="G231" s="10"/>
      <c r="H231" s="9" t="str">
        <f>IF(G231="","",E231*G231)</f>
        <v/>
      </c>
      <c r="I231" s="11" t="str">
        <f>HYPERLINK("https://optomposuda.ru/product/blyudo-na-nozhke-28-sm-oreol","открыть")</f>
        <v>открыть</v>
      </c>
    </row>
    <row r="232" spans="1:9" x14ac:dyDescent="0.25">
      <c r="A232" t="s">
        <v>2198</v>
      </c>
      <c r="B232" t="s">
        <v>2199</v>
      </c>
      <c r="C232" t="s">
        <v>1751</v>
      </c>
      <c r="D232" s="8">
        <v>4</v>
      </c>
      <c r="E232" s="9">
        <v>893.29</v>
      </c>
      <c r="F232" s="8">
        <v>220</v>
      </c>
      <c r="G232" s="10"/>
      <c r="H232" s="9" t="str">
        <f>IF(G232="","",E232*G232)</f>
        <v/>
      </c>
      <c r="I232" s="11" t="str">
        <f>HYPERLINK("https://optomposuda.ru/product/blyudo-na-nozhke-28-sm-oro","открыть")</f>
        <v>открыть</v>
      </c>
    </row>
    <row r="233" spans="1:9" x14ac:dyDescent="0.25">
      <c r="A233" t="s">
        <v>2200</v>
      </c>
      <c r="B233" t="s">
        <v>2201</v>
      </c>
      <c r="C233" t="s">
        <v>1751</v>
      </c>
      <c r="D233" s="8">
        <v>4</v>
      </c>
      <c r="E233" s="9">
        <v>752.18</v>
      </c>
      <c r="F233" s="8">
        <v>79</v>
      </c>
      <c r="G233" s="10"/>
      <c r="H233" s="9" t="str">
        <f>IF(G233="","",E233*G233)</f>
        <v/>
      </c>
      <c r="I233" s="11" t="str">
        <f>HYPERLINK("https://optomposuda.ru/product/blyudo-na-nozhke-28-sm-rio","открыть")</f>
        <v>открыть</v>
      </c>
    </row>
    <row r="234" spans="1:9" x14ac:dyDescent="0.25">
      <c r="A234" t="s">
        <v>2202</v>
      </c>
      <c r="B234" t="s">
        <v>2203</v>
      </c>
      <c r="C234" t="s">
        <v>1751</v>
      </c>
      <c r="D234" s="8">
        <v>1</v>
      </c>
      <c r="E234" s="9">
        <v>1144.07</v>
      </c>
      <c r="F234" s="8">
        <v>242</v>
      </c>
      <c r="G234" s="10"/>
      <c r="H234" s="9" t="str">
        <f>IF(G234="","",E234*G234)</f>
        <v/>
      </c>
      <c r="I234" s="11" t="str">
        <f>HYPERLINK("https://optomposuda.ru/product/blyudo-na-nozhke-28-sm-art-13250a","открыть")</f>
        <v>открыть</v>
      </c>
    </row>
    <row r="235" spans="1:9" x14ac:dyDescent="0.25">
      <c r="A235" t="s">
        <v>2204</v>
      </c>
      <c r="B235" t="s">
        <v>2205</v>
      </c>
      <c r="C235" t="s">
        <v>1751</v>
      </c>
      <c r="D235" s="8">
        <v>1</v>
      </c>
      <c r="E235" s="9">
        <v>741.42</v>
      </c>
      <c r="F235" s="8">
        <v>193</v>
      </c>
      <c r="G235" s="10"/>
      <c r="H235" s="9" t="str">
        <f>IF(G235="","",E235*G235)</f>
        <v/>
      </c>
      <c r="I235" s="11" t="str">
        <f>HYPERLINK("https://optomposuda.ru/product/blyudo-na-nozhke-28sm-zoloto-bosfora-art-15903a","открыть")</f>
        <v>открыть</v>
      </c>
    </row>
    <row r="236" spans="1:9" x14ac:dyDescent="0.25">
      <c r="A236" t="s">
        <v>2206</v>
      </c>
      <c r="B236" t="s">
        <v>2207</v>
      </c>
      <c r="C236" t="s">
        <v>1751</v>
      </c>
      <c r="D236" s="8">
        <v>3</v>
      </c>
      <c r="E236" s="9">
        <v>1196.23</v>
      </c>
      <c r="F236" s="8">
        <v>154</v>
      </c>
      <c r="G236" s="10"/>
      <c r="H236" s="9" t="str">
        <f>IF(G236="","",E236*G236)</f>
        <v/>
      </c>
      <c r="I236" s="11" t="str">
        <f>HYPERLINK("https://optomposuda.ru/product/blyudo-na-nozhke-30-sm-agava","открыть")</f>
        <v>открыть</v>
      </c>
    </row>
    <row r="237" spans="1:9" x14ac:dyDescent="0.25">
      <c r="A237" t="s">
        <v>2208</v>
      </c>
      <c r="B237" t="s">
        <v>2209</v>
      </c>
      <c r="C237" t="s">
        <v>1751</v>
      </c>
      <c r="D237" s="8">
        <v>3</v>
      </c>
      <c r="E237" s="9">
        <v>974.5</v>
      </c>
      <c r="F237" s="8">
        <v>245</v>
      </c>
      <c r="G237" s="10"/>
      <c r="H237" s="9" t="str">
        <f>IF(G237="","",E237*G237)</f>
        <v/>
      </c>
      <c r="I237" s="11" t="str">
        <f>HYPERLINK("https://optomposuda.ru/product/blyudo-na-nozhke-30-sm-divo","открыть")</f>
        <v>открыть</v>
      </c>
    </row>
    <row r="238" spans="1:9" x14ac:dyDescent="0.25">
      <c r="A238" t="s">
        <v>2210</v>
      </c>
      <c r="B238" t="s">
        <v>2211</v>
      </c>
      <c r="C238" t="s">
        <v>1751</v>
      </c>
      <c r="D238" s="8">
        <v>3</v>
      </c>
      <c r="E238" s="9">
        <v>1085.9</v>
      </c>
      <c r="F238" s="8">
        <v>86</v>
      </c>
      <c r="G238" s="10"/>
      <c r="H238" s="9" t="str">
        <f>IF(G238="","",E238*G238)</f>
        <v/>
      </c>
      <c r="I238" s="11" t="str">
        <f>HYPERLINK("https://optomposuda.ru/product/blyudo-na-nozhke-30-sm-noktyurn","открыть")</f>
        <v>открыть</v>
      </c>
    </row>
    <row r="239" spans="1:9" x14ac:dyDescent="0.25">
      <c r="A239" t="s">
        <v>2212</v>
      </c>
      <c r="B239" t="s">
        <v>2213</v>
      </c>
      <c r="C239" t="s">
        <v>1751</v>
      </c>
      <c r="D239" s="8">
        <v>4</v>
      </c>
      <c r="E239" s="9">
        <v>752.18</v>
      </c>
      <c r="F239" s="8">
        <v>68</v>
      </c>
      <c r="G239" s="10"/>
      <c r="H239" s="9" t="str">
        <f>IF(G239="","",E239*G239)</f>
        <v/>
      </c>
      <c r="I239" s="11" t="str">
        <f>HYPERLINK("https://optomposuda.ru/product/blyudo-na-nozhke-30-sm-crystal","открыть")</f>
        <v>открыть</v>
      </c>
    </row>
    <row r="240" spans="1:9" x14ac:dyDescent="0.25">
      <c r="A240" t="s">
        <v>2214</v>
      </c>
      <c r="B240" t="s">
        <v>2215</v>
      </c>
      <c r="C240" t="s">
        <v>1751</v>
      </c>
      <c r="D240" s="8">
        <v>3</v>
      </c>
      <c r="E240" s="9">
        <v>1107.24</v>
      </c>
      <c r="F240" s="8">
        <v>215</v>
      </c>
      <c r="G240" s="10"/>
      <c r="H240" s="9" t="str">
        <f>IF(G240="","",E240*G240)</f>
        <v/>
      </c>
      <c r="I240" s="11" t="str">
        <f>HYPERLINK("https://optomposuda.ru/product/blyudo-na-nozhke-30-sm-inspiration-amber-16471a-b","открыть")</f>
        <v>открыть</v>
      </c>
    </row>
    <row r="241" spans="1:9" x14ac:dyDescent="0.25">
      <c r="A241" t="s">
        <v>2216</v>
      </c>
      <c r="B241" t="s">
        <v>2217</v>
      </c>
      <c r="C241" t="s">
        <v>1751</v>
      </c>
      <c r="D241" s="8">
        <v>1</v>
      </c>
      <c r="E241" s="9">
        <v>225.82</v>
      </c>
      <c r="F241" s="8">
        <v>1</v>
      </c>
      <c r="G241" s="10"/>
      <c r="H241" s="9" t="str">
        <f>IF(G241="","",E241*G241)</f>
        <v/>
      </c>
      <c r="I241" s="11" t="str">
        <f>HYPERLINK("https://optomposuda.ru/product/blyudo-na-nozhke-santana-21-sm-v-razobrannom-vide","открыть")</f>
        <v>открыть</v>
      </c>
    </row>
    <row r="242" spans="1:9" x14ac:dyDescent="0.25">
      <c r="A242" t="s">
        <v>2218</v>
      </c>
      <c r="B242" t="s">
        <v>2219</v>
      </c>
      <c r="C242" t="s">
        <v>1751</v>
      </c>
      <c r="D242" s="8">
        <v>1</v>
      </c>
      <c r="E242" s="9">
        <v>245.69</v>
      </c>
      <c r="F242" s="8">
        <v>1</v>
      </c>
      <c r="G242" s="10"/>
      <c r="H242" s="9" t="str">
        <f>IF(G242="","",E242*G242)</f>
        <v/>
      </c>
      <c r="I242" s="11" t="str">
        <f>HYPERLINK("https://optomposuda.ru/product/blyudo-na-nozhke-santana-28-sm-v-razobrannom-vide","открыть")</f>
        <v>открыть</v>
      </c>
    </row>
    <row r="243" spans="1:9" x14ac:dyDescent="0.25">
      <c r="A243" t="s">
        <v>2220</v>
      </c>
      <c r="B243" t="s">
        <v>2221</v>
      </c>
      <c r="C243" t="s">
        <v>1751</v>
      </c>
      <c r="D243" s="8">
        <v>4</v>
      </c>
      <c r="E243" s="9">
        <v>970.89</v>
      </c>
      <c r="F243" s="8">
        <v>108</v>
      </c>
      <c r="G243" s="10"/>
      <c r="H243" s="9" t="str">
        <f>IF(G243="","",E243*G243)</f>
        <v/>
      </c>
      <c r="I243" s="11" t="str">
        <f>HYPERLINK("https://optomposuda.ru/product/blyudo-na-nozhke-trend-green-tea-21-sm","открыть")</f>
        <v>открыть</v>
      </c>
    </row>
    <row r="244" spans="1:9" x14ac:dyDescent="0.25">
      <c r="A244" t="s">
        <v>2222</v>
      </c>
      <c r="B244" t="s">
        <v>2223</v>
      </c>
      <c r="C244" t="s">
        <v>1751</v>
      </c>
      <c r="D244" s="8">
        <v>4</v>
      </c>
      <c r="E244" s="9">
        <v>898.42</v>
      </c>
      <c r="F244" s="8">
        <v>103</v>
      </c>
      <c r="G244" s="10"/>
      <c r="H244" s="9" t="str">
        <f>IF(G244="","",E244*G244)</f>
        <v/>
      </c>
      <c r="I244" s="11" t="str">
        <f>HYPERLINK("https://optomposuda.ru/product/blyudo-na-nozhke-trend-lavender-18-sm","открыть")</f>
        <v>открыть</v>
      </c>
    </row>
    <row r="245" spans="1:9" x14ac:dyDescent="0.25">
      <c r="A245" t="s">
        <v>2224</v>
      </c>
      <c r="B245" t="s">
        <v>2225</v>
      </c>
      <c r="C245" t="s">
        <v>1751</v>
      </c>
      <c r="D245" s="8">
        <v>6</v>
      </c>
      <c r="E245" s="9">
        <v>1115.34</v>
      </c>
      <c r="F245" s="8">
        <v>17</v>
      </c>
      <c r="G245" s="10"/>
      <c r="H245" s="9" t="str">
        <f>IF(G245="","",E245*G245)</f>
        <v/>
      </c>
      <c r="I245" s="11" t="str">
        <f>HYPERLINK("https://optomposuda.ru/product/blyudo-novogodnee-32-sm-sinee","открыть")</f>
        <v>открыть</v>
      </c>
    </row>
    <row r="246" spans="1:9" x14ac:dyDescent="0.25">
      <c r="A246" t="s">
        <v>2226</v>
      </c>
      <c r="B246" t="s">
        <v>2227</v>
      </c>
      <c r="C246" t="s">
        <v>1751</v>
      </c>
      <c r="D246" s="8">
        <v>1</v>
      </c>
      <c r="E246" s="9">
        <v>1266.35</v>
      </c>
      <c r="F246" s="8">
        <v>32</v>
      </c>
      <c r="G246" s="10"/>
      <c r="H246" s="9" t="str">
        <f>IF(G246="","",E246*G246)</f>
        <v/>
      </c>
      <c r="I246" s="11" t="str">
        <f>HYPERLINK("https://optomposuda.ru/product/blyudo-ovalnoe-ametist-40sm-kor-4sht-18663-3","открыть")</f>
        <v>открыть</v>
      </c>
    </row>
    <row r="247" spans="1:9" x14ac:dyDescent="0.25">
      <c r="A247" t="s">
        <v>2228</v>
      </c>
      <c r="B247" t="s">
        <v>2229</v>
      </c>
      <c r="C247" t="s">
        <v>1751</v>
      </c>
      <c r="D247" s="8">
        <v>4</v>
      </c>
      <c r="E247" s="9">
        <v>413.91</v>
      </c>
      <c r="F247" s="8">
        <v>85</v>
      </c>
      <c r="G247" s="10"/>
      <c r="H247" s="9" t="str">
        <f>IF(G247="","",E247*G247)</f>
        <v/>
      </c>
      <c r="I247" s="11" t="str">
        <f>HYPERLINK("https://optomposuda.ru/product/blyudo-ovalnoe-belaya-zhemchuzhina-25-sm","открыть")</f>
        <v>открыть</v>
      </c>
    </row>
    <row r="248" spans="1:9" x14ac:dyDescent="0.25">
      <c r="A248" t="s">
        <v>2230</v>
      </c>
      <c r="B248" t="s">
        <v>2231</v>
      </c>
      <c r="C248" t="s">
        <v>1751</v>
      </c>
      <c r="D248" s="8">
        <v>4</v>
      </c>
      <c r="E248" s="9">
        <v>998.69</v>
      </c>
      <c r="F248" s="8">
        <v>224</v>
      </c>
      <c r="G248" s="10"/>
      <c r="H248" s="9" t="str">
        <f>IF(G248="","",E248*G248)</f>
        <v/>
      </c>
      <c r="I248" s="11" t="str">
        <f>HYPERLINK("https://optomposuda.ru/product/blyudo-ovalnoe-drevo-triada-z0-sm-17797","открыть")</f>
        <v>открыть</v>
      </c>
    </row>
    <row r="249" spans="1:9" x14ac:dyDescent="0.25">
      <c r="A249" t="s">
        <v>2232</v>
      </c>
      <c r="B249" t="s">
        <v>2233</v>
      </c>
      <c r="C249" t="s">
        <v>1751</v>
      </c>
      <c r="D249" s="8">
        <v>16</v>
      </c>
      <c r="E249" s="9">
        <v>213.71</v>
      </c>
      <c r="F249" s="8">
        <v>46</v>
      </c>
      <c r="G249" s="10"/>
      <c r="H249" s="9" t="str">
        <f>IF(G249="","",E249*G249)</f>
        <v/>
      </c>
      <c r="I249" s="11" t="str">
        <f>HYPERLINK("https://optomposuda.ru/product/blyudo-ovalnoe-zolotaya-zhemchuzhina-15-sm","открыть")</f>
        <v>открыть</v>
      </c>
    </row>
    <row r="250" spans="1:9" x14ac:dyDescent="0.25">
      <c r="A250" t="s">
        <v>2234</v>
      </c>
      <c r="B250" t="s">
        <v>2235</v>
      </c>
      <c r="C250" t="s">
        <v>1751</v>
      </c>
      <c r="D250" s="8">
        <v>6</v>
      </c>
      <c r="E250" s="9">
        <v>308.19</v>
      </c>
      <c r="F250" s="8">
        <v>3</v>
      </c>
      <c r="G250" s="10"/>
      <c r="H250" s="9" t="str">
        <f>IF(G250="","",E250*G250)</f>
        <v/>
      </c>
      <c r="I250" s="11" t="str">
        <f>HYPERLINK("https://optomposuda.ru/product/blyudo-ovalnoe-zolotaya-zhemchuzhina-20-sm","открыть")</f>
        <v>открыть</v>
      </c>
    </row>
    <row r="251" spans="1:9" x14ac:dyDescent="0.25">
      <c r="A251" t="s">
        <v>2236</v>
      </c>
      <c r="B251" t="s">
        <v>2237</v>
      </c>
      <c r="C251" t="s">
        <v>1751</v>
      </c>
      <c r="D251" s="8">
        <v>1</v>
      </c>
      <c r="E251" s="9">
        <v>674.06</v>
      </c>
      <c r="F251" s="8">
        <v>39</v>
      </c>
      <c r="G251" s="10"/>
      <c r="H251" s="9" t="str">
        <f>IF(G251="","",E251*G251)</f>
        <v/>
      </c>
      <c r="I251" s="11" t="str">
        <f>HYPERLINK("https://optomposuda.ru/product/blyudo-ovalnoe-lunnoe-siyanie-20sm-bez-upakovki-kor-4sht-18661-1","открыть")</f>
        <v>открыть</v>
      </c>
    </row>
    <row r="252" spans="1:9" x14ac:dyDescent="0.25">
      <c r="A252" t="s">
        <v>2238</v>
      </c>
      <c r="B252" t="s">
        <v>2239</v>
      </c>
      <c r="C252" t="s">
        <v>1751</v>
      </c>
      <c r="D252" s="8">
        <v>4</v>
      </c>
      <c r="E252" s="9">
        <v>934.47</v>
      </c>
      <c r="F252" s="8">
        <v>28</v>
      </c>
      <c r="G252" s="10"/>
      <c r="H252" s="9" t="str">
        <f>IF(G252="","",E252*G252)</f>
        <v/>
      </c>
      <c r="I252" s="11" t="str">
        <f>HYPERLINK("https://optomposuda.ru/product/blyudo-ovalnoe-lunnoe-siyanie-40-sm","открыть")</f>
        <v>открыть</v>
      </c>
    </row>
    <row r="253" spans="1:9" x14ac:dyDescent="0.25">
      <c r="A253" t="s">
        <v>2240</v>
      </c>
      <c r="B253" t="s">
        <v>2241</v>
      </c>
      <c r="C253" t="s">
        <v>1751</v>
      </c>
      <c r="D253" s="8">
        <v>1</v>
      </c>
      <c r="E253" s="9">
        <v>1522.66</v>
      </c>
      <c r="F253" s="8">
        <v>154</v>
      </c>
      <c r="G253" s="10"/>
      <c r="H253" s="9" t="str">
        <f>IF(G253="","",E253*G253)</f>
        <v/>
      </c>
      <c r="I253" s="11" t="str">
        <f>HYPERLINK("https://optomposuda.ru/product/blyudo-ovalnoe-lunnoe-siyanie-40sm-kor-4sht-18663-1","открыть")</f>
        <v>открыть</v>
      </c>
    </row>
    <row r="254" spans="1:9" x14ac:dyDescent="0.25">
      <c r="A254" t="s">
        <v>2242</v>
      </c>
      <c r="B254" t="s">
        <v>2243</v>
      </c>
      <c r="C254" t="s">
        <v>1751</v>
      </c>
      <c r="D254" s="8">
        <v>1</v>
      </c>
      <c r="E254" s="9">
        <v>283.68</v>
      </c>
      <c r="F254" s="8">
        <v>109</v>
      </c>
      <c r="G254" s="10"/>
      <c r="H254" s="9" t="str">
        <f>IF(G254="","",E254*G254)</f>
        <v/>
      </c>
      <c r="I254" s="11" t="str">
        <f>HYPERLINK("https://optomposuda.ru/product/blyudo-ovalnoe-rubin-20sm-bez-upakovki-kor-6sht-18661-2","открыть")</f>
        <v>открыть</v>
      </c>
    </row>
    <row r="255" spans="1:9" x14ac:dyDescent="0.25">
      <c r="A255" t="s">
        <v>2244</v>
      </c>
      <c r="B255" t="s">
        <v>2245</v>
      </c>
      <c r="C255" t="s">
        <v>1751</v>
      </c>
      <c r="D255" s="8">
        <v>1</v>
      </c>
      <c r="E255" s="9">
        <v>1030.65</v>
      </c>
      <c r="F255" s="8">
        <v>1</v>
      </c>
      <c r="G255" s="10"/>
      <c r="H255" s="9" t="str">
        <f>IF(G255="","",E255*G255)</f>
        <v/>
      </c>
      <c r="I255" s="11" t="str">
        <f>HYPERLINK("https://optomposuda.ru/product/blyudo-ovalnoe-serebro-hyurrem-40-sm-kor-4sht-17168-4","открыть")</f>
        <v>открыть</v>
      </c>
    </row>
    <row r="256" spans="1:9" x14ac:dyDescent="0.25">
      <c r="A256" t="s">
        <v>2246</v>
      </c>
      <c r="B256" t="s">
        <v>2247</v>
      </c>
      <c r="C256" t="s">
        <v>1751</v>
      </c>
      <c r="D256" s="8">
        <v>1</v>
      </c>
      <c r="E256" s="9">
        <v>616.42</v>
      </c>
      <c r="F256" s="8">
        <v>197</v>
      </c>
      <c r="G256" s="10"/>
      <c r="H256" s="9" t="str">
        <f>IF(G256="","",E256*G256)</f>
        <v/>
      </c>
      <c r="I256" s="11" t="str">
        <f>HYPERLINK("https://optomposuda.ru/product/blyudo-ovalnoe-siyanie-nochi-15-sm-kor-16-sht-14407","открыть")</f>
        <v>открыть</v>
      </c>
    </row>
    <row r="257" spans="1:9" x14ac:dyDescent="0.25">
      <c r="A257" t="s">
        <v>2248</v>
      </c>
      <c r="B257" t="s">
        <v>2249</v>
      </c>
      <c r="C257" t="s">
        <v>1751</v>
      </c>
      <c r="D257" s="8">
        <v>1</v>
      </c>
      <c r="E257" s="9">
        <v>768.9</v>
      </c>
      <c r="F257" s="8">
        <v>23</v>
      </c>
      <c r="G257" s="10"/>
      <c r="H257" s="9" t="str">
        <f>IF(G257="","",E257*G257)</f>
        <v/>
      </c>
      <c r="I257" s="11" t="str">
        <f>HYPERLINK("https://optomposuda.ru/product/blyudo-ovalnoe-siyanie-nochi-21-sm-kor-6-sht-14408","открыть")</f>
        <v>открыть</v>
      </c>
    </row>
    <row r="258" spans="1:9" x14ac:dyDescent="0.25">
      <c r="A258" t="s">
        <v>2250</v>
      </c>
      <c r="B258" t="s">
        <v>2251</v>
      </c>
      <c r="C258" t="s">
        <v>1751</v>
      </c>
      <c r="D258" s="8">
        <v>1</v>
      </c>
      <c r="E258" s="9">
        <v>1168.58</v>
      </c>
      <c r="F258" s="8">
        <v>29</v>
      </c>
      <c r="G258" s="10"/>
      <c r="H258" s="9" t="str">
        <f>IF(G258="","",E258*G258)</f>
        <v/>
      </c>
      <c r="I258" s="11" t="str">
        <f>HYPERLINK("https://optomposuda.ru/product/blyudo-ovalnoe-siyanie-nochi-30-sm-kor-4-sht-14409","открыть")</f>
        <v>открыть</v>
      </c>
    </row>
    <row r="259" spans="1:9" x14ac:dyDescent="0.25">
      <c r="A259" t="s">
        <v>2252</v>
      </c>
      <c r="B259" t="s">
        <v>2253</v>
      </c>
      <c r="C259" t="s">
        <v>1751</v>
      </c>
      <c r="D259" s="8">
        <v>1</v>
      </c>
      <c r="E259" s="9">
        <v>1030.65</v>
      </c>
      <c r="F259" s="8">
        <v>1</v>
      </c>
      <c r="G259" s="10"/>
      <c r="H259" s="9" t="str">
        <f>IF(G259="","",E259*G259)</f>
        <v/>
      </c>
      <c r="I259" s="11" t="str">
        <f>HYPERLINK("https://optomposuda.ru/product/blyudo-ovalnoe-hyurrem-izumrud-40sm-kor-4sht-17168-3","открыть")</f>
        <v>открыть</v>
      </c>
    </row>
    <row r="260" spans="1:9" x14ac:dyDescent="0.25">
      <c r="A260" t="s">
        <v>2254</v>
      </c>
      <c r="B260" t="s">
        <v>2255</v>
      </c>
      <c r="C260" t="s">
        <v>1751</v>
      </c>
      <c r="D260" s="8">
        <v>6</v>
      </c>
      <c r="E260" s="9">
        <v>475.62</v>
      </c>
      <c r="F260" s="8">
        <v>233</v>
      </c>
      <c r="G260" s="10"/>
      <c r="H260" s="9" t="str">
        <f>IF(G260="","",E260*G260)</f>
        <v/>
      </c>
      <c r="I260" s="11" t="str">
        <f>HYPERLINK("https://optomposuda.ru/product/blyudo-ovalnoe-shishka-24-cm-korichnevyy","открыть")</f>
        <v>открыть</v>
      </c>
    </row>
    <row r="261" spans="1:9" x14ac:dyDescent="0.25">
      <c r="A261" t="s">
        <v>2256</v>
      </c>
      <c r="B261" t="s">
        <v>2257</v>
      </c>
      <c r="C261" t="s">
        <v>1751</v>
      </c>
      <c r="D261" s="8">
        <v>1</v>
      </c>
      <c r="E261" s="9">
        <v>639.12</v>
      </c>
      <c r="F261" s="8">
        <v>120</v>
      </c>
      <c r="G261" s="10"/>
      <c r="H261" s="9" t="str">
        <f>IF(G261="","",E261*G261)</f>
        <v/>
      </c>
      <c r="I261" s="11" t="str">
        <f>HYPERLINK("https://optomposuda.ru/product/blyudo-ovalnoe-kamennyy-cvetok-30-cm-kor-4sht-art-17470","открыть")</f>
        <v>открыть</v>
      </c>
    </row>
    <row r="262" spans="1:9" x14ac:dyDescent="0.25">
      <c r="A262" t="s">
        <v>2258</v>
      </c>
      <c r="B262" t="s">
        <v>2259</v>
      </c>
      <c r="C262" t="s">
        <v>1751</v>
      </c>
      <c r="D262" s="8">
        <v>1</v>
      </c>
      <c r="E262" s="9">
        <v>1141.52</v>
      </c>
      <c r="F262" s="8">
        <v>143</v>
      </c>
      <c r="G262" s="10"/>
      <c r="H262" s="9" t="str">
        <f>IF(G262="","",E262*G262)</f>
        <v/>
      </c>
      <c r="I262" s="11" t="str">
        <f>HYPERLINK("https://optomposuda.ru/product/blyudo-ovalnoe-na-nozhke-siyanie-nochi-21-sm-kor-6-sht-14408a","открыть")</f>
        <v>открыть</v>
      </c>
    </row>
    <row r="263" spans="1:9" x14ac:dyDescent="0.25">
      <c r="A263" t="s">
        <v>2260</v>
      </c>
      <c r="B263" t="s">
        <v>2261</v>
      </c>
      <c r="C263" t="s">
        <v>1751</v>
      </c>
      <c r="D263" s="8">
        <v>1</v>
      </c>
      <c r="E263" s="9">
        <v>1620.96</v>
      </c>
      <c r="F263" s="8">
        <v>112</v>
      </c>
      <c r="G263" s="10"/>
      <c r="H263" s="9" t="str">
        <f>IF(G263="","",E263*G263)</f>
        <v/>
      </c>
      <c r="I263" s="11" t="str">
        <f>HYPERLINK("https://optomposuda.ru/product/blyudo-ovalnoe-na-nozhke-siyanie-nochi-30-sm-kor-4-sht-14409a","открыть")</f>
        <v>открыть</v>
      </c>
    </row>
    <row r="264" spans="1:9" x14ac:dyDescent="0.25">
      <c r="A264" t="s">
        <v>2262</v>
      </c>
      <c r="B264" t="s">
        <v>2263</v>
      </c>
      <c r="C264" t="s">
        <v>1751</v>
      </c>
      <c r="D264" s="8">
        <v>4</v>
      </c>
      <c r="E264" s="9">
        <v>1421.15</v>
      </c>
      <c r="F264" s="8">
        <v>80</v>
      </c>
      <c r="G264" s="10"/>
      <c r="H264" s="9" t="str">
        <f>IF(G264="","",E264*G264)</f>
        <v/>
      </c>
      <c r="I264" s="11" t="str">
        <f>HYPERLINK("https://optomposuda.ru/product/blyudo-ploskoe-ledyanoy-cvetok-serebro-30-sm","открыть")</f>
        <v>открыть</v>
      </c>
    </row>
    <row r="265" spans="1:9" x14ac:dyDescent="0.25">
      <c r="A265" t="s">
        <v>2264</v>
      </c>
      <c r="B265" t="s">
        <v>2265</v>
      </c>
      <c r="C265" t="s">
        <v>1751</v>
      </c>
      <c r="D265" s="8">
        <v>4</v>
      </c>
      <c r="E265" s="9">
        <v>1409.36</v>
      </c>
      <c r="F265" s="8">
        <v>69</v>
      </c>
      <c r="G265" s="10"/>
      <c r="H265" s="9" t="str">
        <f>IF(G265="","",E265*G265)</f>
        <v/>
      </c>
      <c r="I265" s="11" t="str">
        <f>HYPERLINK("https://optomposuda.ru/product/blyudo-ploskoe-34-sm-gerbera","открыть")</f>
        <v>открыть</v>
      </c>
    </row>
    <row r="266" spans="1:9" x14ac:dyDescent="0.25">
      <c r="A266" t="s">
        <v>2266</v>
      </c>
      <c r="B266" t="s">
        <v>2267</v>
      </c>
      <c r="C266" t="s">
        <v>1751</v>
      </c>
      <c r="D266" s="8">
        <v>4</v>
      </c>
      <c r="E266" s="9">
        <v>461.85</v>
      </c>
      <c r="F266" s="8">
        <v>1</v>
      </c>
      <c r="G266" s="10"/>
      <c r="H266" s="9" t="str">
        <f>IF(G266="","",E266*G266)</f>
        <v/>
      </c>
      <c r="I266" s="11" t="str">
        <f>HYPERLINK("https://optomposuda.ru/product/blyudo-pryamougolnoe-akvamarin-27x14-sm","открыть")</f>
        <v>открыть</v>
      </c>
    </row>
    <row r="267" spans="1:9" x14ac:dyDescent="0.25">
      <c r="A267" t="s">
        <v>2268</v>
      </c>
      <c r="B267" t="s">
        <v>2269</v>
      </c>
      <c r="C267" t="s">
        <v>1751</v>
      </c>
      <c r="D267" s="8">
        <v>4</v>
      </c>
      <c r="E267" s="9">
        <v>571.95</v>
      </c>
      <c r="F267" s="8">
        <v>3</v>
      </c>
      <c r="G267" s="10"/>
      <c r="H267" s="9" t="str">
        <f>IF(G267="","",E267*G267)</f>
        <v/>
      </c>
      <c r="I267" s="11" t="str">
        <f>HYPERLINK("https://optomposuda.ru/product/blyudo-pryamougolnoe-akvamarin-34x17-sm","открыть")</f>
        <v>открыть</v>
      </c>
    </row>
    <row r="268" spans="1:9" x14ac:dyDescent="0.25">
      <c r="A268" t="s">
        <v>2270</v>
      </c>
      <c r="B268" t="s">
        <v>2271</v>
      </c>
      <c r="C268" t="s">
        <v>1751</v>
      </c>
      <c r="D268" s="8">
        <v>4</v>
      </c>
      <c r="E268" s="9">
        <v>951.67</v>
      </c>
      <c r="F268" s="8">
        <v>129</v>
      </c>
      <c r="G268" s="10"/>
      <c r="H268" s="9" t="str">
        <f>IF(G268="","",E268*G268)</f>
        <v/>
      </c>
      <c r="I268" s="11" t="str">
        <f>HYPERLINK("https://optomposuda.ru/product/blyudo-pryamougolnoe-akvamarin-42x20-sm","открыть")</f>
        <v>открыть</v>
      </c>
    </row>
    <row r="269" spans="1:9" x14ac:dyDescent="0.25">
      <c r="A269" t="s">
        <v>2272</v>
      </c>
      <c r="B269" t="s">
        <v>2273</v>
      </c>
      <c r="C269" t="s">
        <v>1751</v>
      </c>
      <c r="D269" s="8">
        <v>4</v>
      </c>
      <c r="E269" s="9">
        <v>851.38</v>
      </c>
      <c r="F269" s="8">
        <v>84</v>
      </c>
      <c r="G269" s="10"/>
      <c r="H269" s="9" t="str">
        <f>IF(G269="","",E269*G269)</f>
        <v/>
      </c>
      <c r="I269" s="11" t="str">
        <f>HYPERLINK("https://optomposuda.ru/product/blyudo-pryamougolnoe-bolshoe-opal-belyy-42x20-sm","открыть")</f>
        <v>открыть</v>
      </c>
    </row>
    <row r="270" spans="1:9" x14ac:dyDescent="0.25">
      <c r="A270" t="s">
        <v>2274</v>
      </c>
      <c r="B270" t="s">
        <v>2275</v>
      </c>
      <c r="C270" t="s">
        <v>1751</v>
      </c>
      <c r="D270" s="8">
        <v>4</v>
      </c>
      <c r="E270" s="9">
        <v>654.64</v>
      </c>
      <c r="F270" s="8">
        <v>5</v>
      </c>
      <c r="G270" s="10"/>
      <c r="H270" s="9" t="str">
        <f>IF(G270="","",E270*G270)</f>
        <v/>
      </c>
      <c r="I270" s="11" t="str">
        <f>HYPERLINK("https://optomposuda.ru/product/blyudo-pryamougolnoe-srednee-opal-belyy-34x17-sm","открыть")</f>
        <v>открыть</v>
      </c>
    </row>
    <row r="271" spans="1:9" x14ac:dyDescent="0.25">
      <c r="A271" t="s">
        <v>2276</v>
      </c>
      <c r="B271" t="s">
        <v>2277</v>
      </c>
      <c r="C271" t="s">
        <v>1751</v>
      </c>
      <c r="D271" s="8">
        <v>1</v>
      </c>
      <c r="E271" s="9">
        <v>1064.69</v>
      </c>
      <c r="F271" s="8">
        <v>18</v>
      </c>
      <c r="G271" s="10"/>
      <c r="H271" s="9" t="str">
        <f>IF(G271="","",E271*G271)</f>
        <v/>
      </c>
      <c r="I271" s="11" t="str">
        <f>HYPERLINK("https://optomposuda.ru/product/blyudo-srednee-salvador-roza-30-sm-kor-4sht-art-17487-3","открыть")</f>
        <v>открыть</v>
      </c>
    </row>
    <row r="272" spans="1:9" x14ac:dyDescent="0.25">
      <c r="A272" t="s">
        <v>2278</v>
      </c>
      <c r="B272" t="s">
        <v>2279</v>
      </c>
      <c r="C272" t="s">
        <v>1751</v>
      </c>
      <c r="D272" s="8">
        <v>4</v>
      </c>
      <c r="E272" s="9">
        <v>681.57</v>
      </c>
      <c r="F272" s="8">
        <v>176</v>
      </c>
      <c r="G272" s="10"/>
      <c r="H272" s="9" t="str">
        <f>IF(G272="","",E272*G272)</f>
        <v/>
      </c>
      <c r="I272" s="11" t="str">
        <f>HYPERLINK("https://optomposuda.ru/product/blyudo-srednee-30-sm-divo","открыть")</f>
        <v>открыть</v>
      </c>
    </row>
    <row r="273" spans="1:9" x14ac:dyDescent="0.25">
      <c r="A273" t="s">
        <v>2280</v>
      </c>
      <c r="B273" t="s">
        <v>2281</v>
      </c>
      <c r="C273" t="s">
        <v>1751</v>
      </c>
      <c r="D273" s="8">
        <v>4</v>
      </c>
      <c r="E273" s="9">
        <v>718.17</v>
      </c>
      <c r="F273" s="8">
        <v>282</v>
      </c>
      <c r="G273" s="10"/>
      <c r="H273" s="9" t="str">
        <f>IF(G273="","",E273*G273)</f>
        <v/>
      </c>
      <c r="I273" s="11" t="str">
        <f>HYPERLINK("https://optomposuda.ru/product/blyudo-srednee-30-sm-ellada","открыть")</f>
        <v>открыть</v>
      </c>
    </row>
    <row r="274" spans="1:9" x14ac:dyDescent="0.25">
      <c r="A274" t="s">
        <v>2282</v>
      </c>
      <c r="B274" t="s">
        <v>2283</v>
      </c>
      <c r="C274" t="s">
        <v>1751</v>
      </c>
      <c r="D274" s="8">
        <v>24</v>
      </c>
      <c r="E274" s="9">
        <v>352.8</v>
      </c>
      <c r="F274" s="8">
        <v>635</v>
      </c>
      <c r="G274" s="10"/>
      <c r="H274" s="9" t="str">
        <f>IF(G274="","",E274*G274)</f>
        <v/>
      </c>
      <c r="I274" s="11" t="str">
        <f>HYPERLINK("https://optomposuda.ru/product/blyudo-trend-green-tea-18-sm","открыть")</f>
        <v>открыть</v>
      </c>
    </row>
    <row r="275" spans="1:9" x14ac:dyDescent="0.25">
      <c r="A275" t="s">
        <v>2284</v>
      </c>
      <c r="B275" t="s">
        <v>2285</v>
      </c>
      <c r="C275" t="s">
        <v>1751</v>
      </c>
      <c r="D275" s="8">
        <v>6</v>
      </c>
      <c r="E275" s="9">
        <v>492.69</v>
      </c>
      <c r="F275" s="8">
        <v>99</v>
      </c>
      <c r="G275" s="10"/>
      <c r="H275" s="9" t="str">
        <f>IF(G275="","",E275*G275)</f>
        <v/>
      </c>
      <c r="I275" s="11" t="str">
        <f>HYPERLINK("https://optomposuda.ru/product/blyudo-trend-green-tea-21-sm","открыть")</f>
        <v>открыть</v>
      </c>
    </row>
    <row r="276" spans="1:9" x14ac:dyDescent="0.25">
      <c r="A276" t="s">
        <v>2286</v>
      </c>
      <c r="B276" t="s">
        <v>2287</v>
      </c>
      <c r="C276" t="s">
        <v>1751</v>
      </c>
      <c r="D276" s="8">
        <v>6</v>
      </c>
      <c r="E276" s="9">
        <v>720.81</v>
      </c>
      <c r="F276" s="8">
        <v>630</v>
      </c>
      <c r="G276" s="10"/>
      <c r="H276" s="9" t="str">
        <f>IF(G276="","",E276*G276)</f>
        <v/>
      </c>
      <c r="I276" s="11" t="str">
        <f>HYPERLINK("https://optomposuda.ru/product/blyudo-trend-green-tea-28-sm","открыть")</f>
        <v>открыть</v>
      </c>
    </row>
    <row r="277" spans="1:9" x14ac:dyDescent="0.25">
      <c r="A277" t="s">
        <v>2288</v>
      </c>
      <c r="B277" t="s">
        <v>2289</v>
      </c>
      <c r="C277" t="s">
        <v>1751</v>
      </c>
      <c r="D277" s="8">
        <v>6</v>
      </c>
      <c r="E277" s="9">
        <v>1188.24</v>
      </c>
      <c r="F277" s="8">
        <v>90</v>
      </c>
      <c r="G277" s="10"/>
      <c r="H277" s="9" t="str">
        <f>IF(G277="","",E277*G277)</f>
        <v/>
      </c>
      <c r="I277" s="11" t="str">
        <f>HYPERLINK("https://optomposuda.ru/product/blyudo-trend-green-tea-32-sm","открыть")</f>
        <v>открыть</v>
      </c>
    </row>
    <row r="278" spans="1:9" x14ac:dyDescent="0.25">
      <c r="A278" t="s">
        <v>2290</v>
      </c>
      <c r="B278" t="s">
        <v>2291</v>
      </c>
      <c r="C278" t="s">
        <v>1751</v>
      </c>
      <c r="D278" s="8">
        <v>6</v>
      </c>
      <c r="E278" s="9">
        <v>620.98</v>
      </c>
      <c r="F278" s="8">
        <v>54</v>
      </c>
      <c r="G278" s="10"/>
      <c r="H278" s="9" t="str">
        <f>IF(G278="","",E278*G278)</f>
        <v/>
      </c>
      <c r="I278" s="11" t="str">
        <f>HYPERLINK("https://optomposuda.ru/product/blyudo-trend-lavender-28-sm","открыть")</f>
        <v>открыть</v>
      </c>
    </row>
    <row r="279" spans="1:9" x14ac:dyDescent="0.25">
      <c r="A279" t="s">
        <v>2292</v>
      </c>
      <c r="B279" t="s">
        <v>2293</v>
      </c>
      <c r="C279" t="s">
        <v>1751</v>
      </c>
      <c r="D279" s="8">
        <v>6</v>
      </c>
      <c r="E279" s="9">
        <v>1188.24</v>
      </c>
      <c r="F279" s="8">
        <v>33</v>
      </c>
      <c r="G279" s="10"/>
      <c r="H279" s="9" t="str">
        <f>IF(G279="","",E279*G279)</f>
        <v/>
      </c>
      <c r="I279" s="11" t="str">
        <f>HYPERLINK("https://optomposuda.ru/product/blyudo-trend-lavender-32-sm","открыть")</f>
        <v>открыть</v>
      </c>
    </row>
    <row r="280" spans="1:9" x14ac:dyDescent="0.25">
      <c r="A280" t="s">
        <v>2294</v>
      </c>
      <c r="B280" t="s">
        <v>2295</v>
      </c>
      <c r="C280" t="s">
        <v>1751</v>
      </c>
      <c r="D280" s="8">
        <v>1</v>
      </c>
      <c r="E280" s="9">
        <v>639.12</v>
      </c>
      <c r="F280" s="8">
        <v>25</v>
      </c>
      <c r="G280" s="10"/>
      <c r="H280" s="9" t="str">
        <f>IF(G280="","",E280*G280)</f>
        <v/>
      </c>
      <c r="I280" s="11" t="str">
        <f>HYPERLINK("https://optomposuda.ru/product/bolshaya-tarelka-kamennyy-cvetok-34-cm-kor-6sht-17474","открыть")</f>
        <v>открыть</v>
      </c>
    </row>
    <row r="281" spans="1:9" x14ac:dyDescent="0.25">
      <c r="A281" t="s">
        <v>2296</v>
      </c>
      <c r="B281" t="s">
        <v>2297</v>
      </c>
      <c r="C281" t="s">
        <v>1751</v>
      </c>
      <c r="D281" s="8">
        <v>4</v>
      </c>
      <c r="E281" s="9">
        <v>542.77</v>
      </c>
      <c r="F281" s="8">
        <v>60</v>
      </c>
      <c r="G281" s="10"/>
      <c r="H281" s="9" t="str">
        <f>IF(G281="","",E281*G281)</f>
        <v/>
      </c>
      <c r="I281" s="11" t="str">
        <f>HYPERLINK("https://optomposuda.ru/product/vaza-23-sm-xmass-12208","открыть")</f>
        <v>открыть</v>
      </c>
    </row>
    <row r="282" spans="1:9" x14ac:dyDescent="0.25">
      <c r="A282" t="s">
        <v>2298</v>
      </c>
      <c r="B282" t="s">
        <v>2299</v>
      </c>
      <c r="C282" t="s">
        <v>1751</v>
      </c>
      <c r="D282" s="8">
        <v>12</v>
      </c>
      <c r="E282" s="9">
        <v>536.06</v>
      </c>
      <c r="F282" s="8">
        <v>324</v>
      </c>
      <c r="G282" s="10"/>
      <c r="H282" s="9" t="str">
        <f>IF(G282="","",E282*G282)</f>
        <v/>
      </c>
      <c r="I282" s="11" t="str">
        <f>HYPERLINK("https://optomposuda.ru/product/vazochka-350-ml-granat-zolotoy","открыть")</f>
        <v>открыть</v>
      </c>
    </row>
    <row r="283" spans="1:9" x14ac:dyDescent="0.25">
      <c r="A283" t="s">
        <v>2300</v>
      </c>
      <c r="B283" t="s">
        <v>2301</v>
      </c>
      <c r="C283" t="s">
        <v>1751</v>
      </c>
      <c r="D283" s="8">
        <v>12</v>
      </c>
      <c r="E283" s="9">
        <v>536.06</v>
      </c>
      <c r="F283" s="8">
        <v>183</v>
      </c>
      <c r="G283" s="10"/>
      <c r="H283" s="9" t="str">
        <f>IF(G283="","",E283*G283)</f>
        <v/>
      </c>
      <c r="I283" s="11" t="str">
        <f>HYPERLINK("https://optomposuda.ru/product/vazochka-350-ml-granat-purpurnyy","открыть")</f>
        <v>открыть</v>
      </c>
    </row>
    <row r="284" spans="1:9" x14ac:dyDescent="0.25">
      <c r="A284" t="s">
        <v>2302</v>
      </c>
      <c r="B284" t="s">
        <v>2303</v>
      </c>
      <c r="C284" t="s">
        <v>1751</v>
      </c>
      <c r="D284" s="8">
        <v>6</v>
      </c>
      <c r="E284" s="9">
        <v>375.24</v>
      </c>
      <c r="F284" s="8">
        <v>150</v>
      </c>
      <c r="G284" s="10"/>
      <c r="H284" s="9" t="str">
        <f>IF(G284="","",E284*G284)</f>
        <v/>
      </c>
      <c r="I284" s="11" t="str">
        <f>HYPERLINK("https://optomposuda.ru/product/glubokaya-tarelka-21-cm-illyuziya","открыть")</f>
        <v>открыть</v>
      </c>
    </row>
    <row r="285" spans="1:9" x14ac:dyDescent="0.25">
      <c r="A285" t="s">
        <v>2304</v>
      </c>
      <c r="B285" t="s">
        <v>2305</v>
      </c>
      <c r="C285" t="s">
        <v>1751</v>
      </c>
      <c r="D285" s="8">
        <v>6</v>
      </c>
      <c r="E285" s="9">
        <v>611.1</v>
      </c>
      <c r="F285" s="8">
        <v>138</v>
      </c>
      <c r="G285" s="10"/>
      <c r="H285" s="9" t="str">
        <f>IF(G285="","",E285*G285)</f>
        <v/>
      </c>
      <c r="I285" s="11" t="str">
        <f>HYPERLINK("https://optomposuda.ru/product/glubokaya-tarelka-28-cm-illyuziya","открыть")</f>
        <v>открыть</v>
      </c>
    </row>
    <row r="286" spans="1:9" x14ac:dyDescent="0.25">
      <c r="A286" t="s">
        <v>2306</v>
      </c>
      <c r="B286" t="s">
        <v>2307</v>
      </c>
      <c r="C286" t="s">
        <v>1751</v>
      </c>
      <c r="D286" s="8">
        <v>4</v>
      </c>
      <c r="E286" s="9">
        <v>282.24</v>
      </c>
      <c r="F286" s="8">
        <v>110</v>
      </c>
      <c r="G286" s="10"/>
      <c r="H286" s="9" t="str">
        <f>IF(G286="","",E286*G286)</f>
        <v/>
      </c>
      <c r="I286" s="11" t="str">
        <f>HYPERLINK("https://optomposuda.ru/product/glubokiy-salatnik-22-sm-zolotoe-sechenie-19554-g","открыть")</f>
        <v>открыть</v>
      </c>
    </row>
    <row r="287" spans="1:9" x14ac:dyDescent="0.25">
      <c r="A287" t="s">
        <v>2308</v>
      </c>
      <c r="B287" t="s">
        <v>2309</v>
      </c>
      <c r="C287" t="s">
        <v>1751</v>
      </c>
      <c r="D287" s="8">
        <v>4</v>
      </c>
      <c r="E287" s="9">
        <v>620.3</v>
      </c>
      <c r="F287" s="8">
        <v>187</v>
      </c>
      <c r="G287" s="10"/>
      <c r="H287" s="9" t="str">
        <f>IF(G287="","",E287*G287)</f>
        <v/>
      </c>
      <c r="I287" s="11" t="str">
        <f>HYPERLINK("https://optomposuda.ru/product/glubokiy-salatnik-30-sm-zolotoe-sechenie-19552-g","открыть")</f>
        <v>открыть</v>
      </c>
    </row>
    <row r="288" spans="1:9" x14ac:dyDescent="0.25">
      <c r="A288" t="s">
        <v>2310</v>
      </c>
      <c r="B288" t="s">
        <v>2311</v>
      </c>
      <c r="C288" t="s">
        <v>1751</v>
      </c>
      <c r="D288" s="8">
        <v>16</v>
      </c>
      <c r="E288" s="9">
        <v>213.71</v>
      </c>
      <c r="F288" s="8">
        <v>137</v>
      </c>
      <c r="G288" s="10"/>
      <c r="H288" s="9" t="str">
        <f>IF(G288="","",E288*G288)</f>
        <v/>
      </c>
      <c r="I288" s="11" t="str">
        <f>HYPERLINK("https://optomposuda.ru/product/kvadratnyy-salatnik-znoynoe-leto-akvamarin-14-sm","открыть")</f>
        <v>открыть</v>
      </c>
    </row>
    <row r="289" spans="1:9" x14ac:dyDescent="0.25">
      <c r="A289" t="s">
        <v>2312</v>
      </c>
      <c r="B289" t="s">
        <v>2313</v>
      </c>
      <c r="C289" t="s">
        <v>1751</v>
      </c>
      <c r="D289" s="8">
        <v>12</v>
      </c>
      <c r="E289" s="9">
        <v>308.19</v>
      </c>
      <c r="F289" s="8">
        <v>109</v>
      </c>
      <c r="G289" s="10"/>
      <c r="H289" s="9" t="str">
        <f>IF(G289="","",E289*G289)</f>
        <v/>
      </c>
      <c r="I289" s="11" t="str">
        <f>HYPERLINK("https://optomposuda.ru/product/kvadratnyy-salatnik-znoynoe-leto-akvamarin-18-sm","открыть")</f>
        <v>открыть</v>
      </c>
    </row>
    <row r="290" spans="1:9" x14ac:dyDescent="0.25">
      <c r="A290" t="s">
        <v>2314</v>
      </c>
      <c r="B290" t="s">
        <v>2315</v>
      </c>
      <c r="C290" t="s">
        <v>1751</v>
      </c>
      <c r="D290" s="8">
        <v>6</v>
      </c>
      <c r="E290" s="9">
        <v>483.65</v>
      </c>
      <c r="F290" s="8">
        <v>135</v>
      </c>
      <c r="G290" s="10"/>
      <c r="H290" s="9" t="str">
        <f>IF(G290="","",E290*G290)</f>
        <v/>
      </c>
      <c r="I290" s="11" t="str">
        <f>HYPERLINK("https://optomposuda.ru/product/kvadratnyy-salatnik-znoynoe-leto-akvamarin-25-sm","открыть")</f>
        <v>открыть</v>
      </c>
    </row>
    <row r="291" spans="1:9" x14ac:dyDescent="0.25">
      <c r="A291" t="s">
        <v>2316</v>
      </c>
      <c r="B291" t="s">
        <v>2317</v>
      </c>
      <c r="C291" t="s">
        <v>1751</v>
      </c>
      <c r="D291" s="8">
        <v>16</v>
      </c>
      <c r="E291" s="9">
        <v>213.71</v>
      </c>
      <c r="F291" s="8">
        <v>135</v>
      </c>
      <c r="G291" s="10"/>
      <c r="H291" s="9" t="str">
        <f>IF(G291="","",E291*G291)</f>
        <v/>
      </c>
      <c r="I291" s="11" t="str">
        <f>HYPERLINK("https://optomposuda.ru/product/kvadratnyy-salatnik-znoynoe-leto-laym-14-sm","открыть")</f>
        <v>открыть</v>
      </c>
    </row>
    <row r="292" spans="1:9" x14ac:dyDescent="0.25">
      <c r="A292" t="s">
        <v>2318</v>
      </c>
      <c r="B292" t="s">
        <v>2319</v>
      </c>
      <c r="C292" t="s">
        <v>1751</v>
      </c>
      <c r="D292" s="8">
        <v>12</v>
      </c>
      <c r="E292" s="9">
        <v>308.19</v>
      </c>
      <c r="F292" s="8">
        <v>93</v>
      </c>
      <c r="G292" s="10"/>
      <c r="H292" s="9" t="str">
        <f>IF(G292="","",E292*G292)</f>
        <v/>
      </c>
      <c r="I292" s="11" t="str">
        <f>HYPERLINK("https://optomposuda.ru/product/kvadratnyy-salatnik-znoynoe-leto-laym-18-sm","открыть")</f>
        <v>открыть</v>
      </c>
    </row>
    <row r="293" spans="1:9" x14ac:dyDescent="0.25">
      <c r="A293" t="s">
        <v>2320</v>
      </c>
      <c r="B293" t="s">
        <v>2321</v>
      </c>
      <c r="C293" t="s">
        <v>1751</v>
      </c>
      <c r="D293" s="8">
        <v>6</v>
      </c>
      <c r="E293" s="9">
        <v>483.65</v>
      </c>
      <c r="F293" s="8">
        <v>127</v>
      </c>
      <c r="G293" s="10"/>
      <c r="H293" s="9" t="str">
        <f>IF(G293="","",E293*G293)</f>
        <v/>
      </c>
      <c r="I293" s="11" t="str">
        <f>HYPERLINK("https://optomposuda.ru/product/kvadratnyy-salatnik-znoynoe-leto-laym-25-sm","открыть")</f>
        <v>открыть</v>
      </c>
    </row>
    <row r="294" spans="1:9" x14ac:dyDescent="0.25">
      <c r="A294" t="s">
        <v>2322</v>
      </c>
      <c r="B294" t="s">
        <v>2323</v>
      </c>
      <c r="C294" t="s">
        <v>1751</v>
      </c>
      <c r="D294" s="8">
        <v>16</v>
      </c>
      <c r="E294" s="9">
        <v>213.71</v>
      </c>
      <c r="F294" s="8">
        <v>123</v>
      </c>
      <c r="G294" s="10"/>
      <c r="H294" s="9" t="str">
        <f>IF(G294="","",E294*G294)</f>
        <v/>
      </c>
      <c r="I294" s="11" t="str">
        <f>HYPERLINK("https://optomposuda.ru/product/kvadratnyy-salatnik-znoynoe-leto-limon-14-sm","открыть")</f>
        <v>открыть</v>
      </c>
    </row>
    <row r="295" spans="1:9" x14ac:dyDescent="0.25">
      <c r="A295" t="s">
        <v>2324</v>
      </c>
      <c r="B295" t="s">
        <v>2325</v>
      </c>
      <c r="C295" t="s">
        <v>1751</v>
      </c>
      <c r="D295" s="8">
        <v>12</v>
      </c>
      <c r="E295" s="9">
        <v>308.19</v>
      </c>
      <c r="F295" s="8">
        <v>111</v>
      </c>
      <c r="G295" s="10"/>
      <c r="H295" s="9" t="str">
        <f>IF(G295="","",E295*G295)</f>
        <v/>
      </c>
      <c r="I295" s="11" t="str">
        <f>HYPERLINK("https://optomposuda.ru/product/kvadratnyy-salatnik-znoynoe-leto-limon-18-sm","открыть")</f>
        <v>открыть</v>
      </c>
    </row>
    <row r="296" spans="1:9" x14ac:dyDescent="0.25">
      <c r="A296" t="s">
        <v>2326</v>
      </c>
      <c r="B296" t="s">
        <v>2327</v>
      </c>
      <c r="C296" t="s">
        <v>1751</v>
      </c>
      <c r="D296" s="8">
        <v>6</v>
      </c>
      <c r="E296" s="9">
        <v>483.65</v>
      </c>
      <c r="F296" s="8">
        <v>133</v>
      </c>
      <c r="G296" s="10"/>
      <c r="H296" s="9" t="str">
        <f>IF(G296="","",E296*G296)</f>
        <v/>
      </c>
      <c r="I296" s="11" t="str">
        <f>HYPERLINK("https://optomposuda.ru/product/kvadratnyy-salatnik-znoynoe-leto-limon-25-sm","открыть")</f>
        <v>открыть</v>
      </c>
    </row>
    <row r="297" spans="1:9" x14ac:dyDescent="0.25">
      <c r="A297" t="s">
        <v>2328</v>
      </c>
      <c r="B297" t="s">
        <v>2329</v>
      </c>
      <c r="C297" t="s">
        <v>1751</v>
      </c>
      <c r="D297" s="8">
        <v>4</v>
      </c>
      <c r="E297" s="9">
        <v>597.75</v>
      </c>
      <c r="F297" s="8">
        <v>106</v>
      </c>
      <c r="G297" s="10"/>
      <c r="H297" s="9" t="str">
        <f>IF(G297="","",E297*G297)</f>
        <v/>
      </c>
      <c r="I297" s="11" t="str">
        <f>HYPERLINK("https://optomposuda.ru/product/konfetnica-antichnaya-roza-15-sm-zoloto-17907a-g","открыть")</f>
        <v>открыть</v>
      </c>
    </row>
    <row r="298" spans="1:9" x14ac:dyDescent="0.25">
      <c r="A298" t="s">
        <v>2330</v>
      </c>
      <c r="B298" t="s">
        <v>2331</v>
      </c>
      <c r="C298" t="s">
        <v>1751</v>
      </c>
      <c r="D298" s="8">
        <v>4</v>
      </c>
      <c r="E298" s="9">
        <v>597.75</v>
      </c>
      <c r="F298" s="8">
        <v>223</v>
      </c>
      <c r="G298" s="10"/>
      <c r="H298" s="9" t="str">
        <f>IF(G298="","",E298*G298)</f>
        <v/>
      </c>
      <c r="I298" s="11" t="str">
        <f>HYPERLINK("https://optomposuda.ru/product/konfetnica-antichnaya-roza-15-sm-platina-17907a-r","открыть")</f>
        <v>открыть</v>
      </c>
    </row>
    <row r="299" spans="1:9" x14ac:dyDescent="0.25">
      <c r="A299" t="s">
        <v>2332</v>
      </c>
      <c r="B299" t="s">
        <v>2333</v>
      </c>
      <c r="C299" t="s">
        <v>1751</v>
      </c>
      <c r="D299" s="8">
        <v>7</v>
      </c>
      <c r="E299" s="9">
        <v>380.62</v>
      </c>
      <c r="F299" s="8">
        <v>159</v>
      </c>
      <c r="G299" s="10"/>
      <c r="H299" s="9" t="str">
        <f>IF(G299="","",E299*G299)</f>
        <v/>
      </c>
      <c r="I299" s="11" t="str">
        <f>HYPERLINK("https://optomposuda.ru/product/kremanka-11-sm-crystal","открыть")</f>
        <v>открыть</v>
      </c>
    </row>
    <row r="300" spans="1:9" x14ac:dyDescent="0.25">
      <c r="A300" t="s">
        <v>2334</v>
      </c>
      <c r="B300" t="s">
        <v>2335</v>
      </c>
      <c r="C300" t="s">
        <v>1751</v>
      </c>
      <c r="D300" s="8">
        <v>5</v>
      </c>
      <c r="E300" s="9">
        <v>422.91</v>
      </c>
      <c r="F300" s="8">
        <v>190</v>
      </c>
      <c r="G300" s="10"/>
      <c r="H300" s="9" t="str">
        <f>IF(G300="","",E300*G300)</f>
        <v/>
      </c>
      <c r="I300" s="11" t="str">
        <f>HYPERLINK("https://optomposuda.ru/product/kremanka-15-sm-crystal","открыть")</f>
        <v>открыть</v>
      </c>
    </row>
    <row r="301" spans="1:9" x14ac:dyDescent="0.25">
      <c r="A301" t="s">
        <v>2336</v>
      </c>
      <c r="B301" t="s">
        <v>2337</v>
      </c>
      <c r="C301" t="s">
        <v>1751</v>
      </c>
      <c r="D301" s="8">
        <v>5</v>
      </c>
      <c r="E301" s="9">
        <v>422.91</v>
      </c>
      <c r="F301" s="8">
        <v>135</v>
      </c>
      <c r="G301" s="10"/>
      <c r="H301" s="9" t="str">
        <f>IF(G301="","",E301*G301)</f>
        <v/>
      </c>
      <c r="I301" s="11" t="str">
        <f>HYPERLINK("https://optomposuda.ru/product/kremanka-15-sm-rio","открыть")</f>
        <v>открыть</v>
      </c>
    </row>
    <row r="302" spans="1:9" x14ac:dyDescent="0.25">
      <c r="A302" t="s">
        <v>2338</v>
      </c>
      <c r="B302" t="s">
        <v>2339</v>
      </c>
      <c r="C302" t="s">
        <v>1751</v>
      </c>
      <c r="D302" s="8">
        <v>1</v>
      </c>
      <c r="E302" s="9">
        <v>290.12</v>
      </c>
      <c r="F302" s="8">
        <v>54</v>
      </c>
      <c r="G302" s="10"/>
      <c r="H302" s="9" t="str">
        <f>IF(G302="","",E302*G302)</f>
        <v/>
      </c>
      <c r="I302" s="11" t="str">
        <f>HYPERLINK("https://optomposuda.ru/product/malenkaya-tarelka-kamennyy-cvetok-21-cm-kor-8sht-17472","открыть")</f>
        <v>открыть</v>
      </c>
    </row>
    <row r="303" spans="1:9" x14ac:dyDescent="0.25">
      <c r="A303" t="s">
        <v>2340</v>
      </c>
      <c r="B303" t="s">
        <v>2341</v>
      </c>
      <c r="C303" t="s">
        <v>1751</v>
      </c>
      <c r="D303" s="8">
        <v>2</v>
      </c>
      <c r="E303" s="9">
        <v>3224.63</v>
      </c>
      <c r="F303" s="8">
        <v>1</v>
      </c>
      <c r="G303" s="10"/>
      <c r="H303" s="9" t="str">
        <f>IF(G303="","",E303*G303)</f>
        <v/>
      </c>
      <c r="I303" s="11" t="str">
        <f>HYPERLINK("https://optomposuda.ru/product/nabor-food-appelal-18-predmetov-black-iris","открыть")</f>
        <v>открыть</v>
      </c>
    </row>
    <row r="304" spans="1:9" x14ac:dyDescent="0.25">
      <c r="A304" t="s">
        <v>2342</v>
      </c>
      <c r="B304" t="s">
        <v>2343</v>
      </c>
      <c r="C304" t="s">
        <v>1751</v>
      </c>
      <c r="D304" s="8">
        <v>1</v>
      </c>
      <c r="E304" s="9">
        <v>122.24</v>
      </c>
      <c r="F304" s="8">
        <v>2</v>
      </c>
      <c r="G304" s="10"/>
      <c r="H304" s="9" t="str">
        <f>IF(G304="","",E304*G304)</f>
        <v/>
      </c>
      <c r="I304" s="11" t="str">
        <f>HYPERLINK("https://optomposuda.ru/product/nabor-iz-dvuh-pial-13-sm-i-16-sm-art-15908","открыть")</f>
        <v>открыть</v>
      </c>
    </row>
    <row r="305" spans="1:9" x14ac:dyDescent="0.25">
      <c r="A305" t="s">
        <v>2344</v>
      </c>
      <c r="B305" t="s">
        <v>2345</v>
      </c>
      <c r="C305" t="s">
        <v>1751</v>
      </c>
      <c r="D305" s="8">
        <v>6</v>
      </c>
      <c r="E305" s="9">
        <v>352.78</v>
      </c>
      <c r="F305" s="8">
        <v>198</v>
      </c>
      <c r="G305" s="10"/>
      <c r="H305" s="9" t="str">
        <f>IF(G305="","",E305*G305)</f>
        <v/>
      </c>
      <c r="I305" s="11" t="str">
        <f>HYPERLINK("https://optomposuda.ru/product/ovalnyy-salatnik-feyerverk-21-cm-krasnyy","открыть")</f>
        <v>открыть</v>
      </c>
    </row>
    <row r="306" spans="1:9" x14ac:dyDescent="0.25">
      <c r="A306" t="s">
        <v>2346</v>
      </c>
      <c r="B306" t="s">
        <v>2347</v>
      </c>
      <c r="C306" t="s">
        <v>1751</v>
      </c>
      <c r="D306" s="8">
        <v>6</v>
      </c>
      <c r="E306" s="9">
        <v>352.78</v>
      </c>
      <c r="F306" s="8">
        <v>151</v>
      </c>
      <c r="G306" s="10"/>
      <c r="H306" s="9" t="str">
        <f>IF(G306="","",E306*G306)</f>
        <v/>
      </c>
      <c r="I306" s="11" t="str">
        <f>HYPERLINK("https://optomposuda.ru/product/ovalnyy-salatnik-feyerverk-21-cm-siniy","открыть")</f>
        <v>открыть</v>
      </c>
    </row>
    <row r="307" spans="1:9" x14ac:dyDescent="0.25">
      <c r="A307" t="s">
        <v>2348</v>
      </c>
      <c r="B307" t="s">
        <v>2349</v>
      </c>
      <c r="C307" t="s">
        <v>1751</v>
      </c>
      <c r="D307" s="8">
        <v>6</v>
      </c>
      <c r="E307" s="9">
        <v>352.78</v>
      </c>
      <c r="F307" s="8">
        <v>190</v>
      </c>
      <c r="G307" s="10"/>
      <c r="H307" s="9" t="str">
        <f>IF(G307="","",E307*G307)</f>
        <v/>
      </c>
      <c r="I307" s="11" t="str">
        <f>HYPERLINK("https://optomposuda.ru/product/ovalnyy-salatnik-feyerverk-21-cm-shampan","открыть")</f>
        <v>открыть</v>
      </c>
    </row>
    <row r="308" spans="1:9" x14ac:dyDescent="0.25">
      <c r="A308" t="s">
        <v>2350</v>
      </c>
      <c r="B308" t="s">
        <v>2351</v>
      </c>
      <c r="C308" t="s">
        <v>1751</v>
      </c>
      <c r="D308" s="8">
        <v>1</v>
      </c>
      <c r="E308" s="9">
        <v>198.64</v>
      </c>
      <c r="F308" s="8">
        <v>359</v>
      </c>
      <c r="G308" s="10"/>
      <c r="H308" s="9" t="str">
        <f>IF(G308="","",E308*G308)</f>
        <v/>
      </c>
      <c r="I308" s="11" t="str">
        <f>HYPERLINK("https://optomposuda.ru/product/piala-vesenniy-cvetok-15-sm-art-14092rg","открыть")</f>
        <v>открыть</v>
      </c>
    </row>
    <row r="309" spans="1:9" x14ac:dyDescent="0.25">
      <c r="A309" t="s">
        <v>2352</v>
      </c>
      <c r="B309" t="s">
        <v>2353</v>
      </c>
      <c r="C309" t="s">
        <v>1751</v>
      </c>
      <c r="D309" s="8">
        <v>16</v>
      </c>
      <c r="E309" s="9">
        <v>138.96</v>
      </c>
      <c r="F309" s="8">
        <v>1</v>
      </c>
      <c r="G309" s="10"/>
      <c r="H309" s="9" t="str">
        <f>IF(G309="","",E309*G309)</f>
        <v/>
      </c>
      <c r="I309" s="11" t="str">
        <f>HYPERLINK("https://optomposuda.ru/product/piala-11-sm-crystal","открыть")</f>
        <v>открыть</v>
      </c>
    </row>
    <row r="310" spans="1:9" x14ac:dyDescent="0.25">
      <c r="A310" t="s">
        <v>2354</v>
      </c>
      <c r="B310" t="s">
        <v>2355</v>
      </c>
      <c r="C310" t="s">
        <v>1751</v>
      </c>
      <c r="D310" s="8">
        <v>16</v>
      </c>
      <c r="E310" s="9">
        <v>138.96</v>
      </c>
      <c r="F310" s="8">
        <v>220</v>
      </c>
      <c r="G310" s="10"/>
      <c r="H310" s="9" t="str">
        <f>IF(G310="","",E310*G310)</f>
        <v/>
      </c>
      <c r="I310" s="11" t="str">
        <f>HYPERLINK("https://optomposuda.ru/product/piala-13-sm-izmir","открыть")</f>
        <v>открыть</v>
      </c>
    </row>
    <row r="311" spans="1:9" x14ac:dyDescent="0.25">
      <c r="A311" t="s">
        <v>2356</v>
      </c>
      <c r="B311" t="s">
        <v>2357</v>
      </c>
      <c r="C311" t="s">
        <v>1751</v>
      </c>
      <c r="D311" s="8">
        <v>8</v>
      </c>
      <c r="E311" s="9">
        <v>181.25</v>
      </c>
      <c r="F311" s="8">
        <v>127</v>
      </c>
      <c r="G311" s="10"/>
      <c r="H311" s="9" t="str">
        <f>IF(G311="","",E311*G311)</f>
        <v/>
      </c>
      <c r="I311" s="11" t="str">
        <f>HYPERLINK("https://optomposuda.ru/product/piala-15-sm-crystal","открыть")</f>
        <v>открыть</v>
      </c>
    </row>
    <row r="312" spans="1:9" x14ac:dyDescent="0.25">
      <c r="A312" t="s">
        <v>2358</v>
      </c>
      <c r="B312" t="s">
        <v>2359</v>
      </c>
      <c r="C312" t="s">
        <v>1751</v>
      </c>
      <c r="D312" s="8">
        <v>8</v>
      </c>
      <c r="E312" s="9">
        <v>161.97</v>
      </c>
      <c r="F312" s="8">
        <v>239</v>
      </c>
      <c r="G312" s="10"/>
      <c r="H312" s="9" t="str">
        <f>IF(G312="","",E312*G312)</f>
        <v/>
      </c>
      <c r="I312" s="11" t="str">
        <f>HYPERLINK("https://optomposuda.ru/product/piala-15-sm-izmir","открыть")</f>
        <v>открыть</v>
      </c>
    </row>
    <row r="313" spans="1:9" x14ac:dyDescent="0.25">
      <c r="A313" t="s">
        <v>2360</v>
      </c>
      <c r="B313" t="s">
        <v>2361</v>
      </c>
      <c r="C313" t="s">
        <v>1751</v>
      </c>
      <c r="D313" s="8">
        <v>8</v>
      </c>
      <c r="E313" s="9">
        <v>262.67</v>
      </c>
      <c r="F313" s="8">
        <v>158</v>
      </c>
      <c r="G313" s="10"/>
      <c r="H313" s="9" t="str">
        <f>IF(G313="","",E313*G313)</f>
        <v/>
      </c>
      <c r="I313" s="11" t="str">
        <f>HYPERLINK("https://optomposuda.ru/product/piala-18-cm-illyuziya","открыть")</f>
        <v>открыть</v>
      </c>
    </row>
    <row r="314" spans="1:9" x14ac:dyDescent="0.25">
      <c r="A314" t="s">
        <v>2362</v>
      </c>
      <c r="B314" t="s">
        <v>2363</v>
      </c>
      <c r="C314" t="s">
        <v>1751</v>
      </c>
      <c r="D314" s="8">
        <v>1</v>
      </c>
      <c r="E314" s="9">
        <v>570.76</v>
      </c>
      <c r="F314" s="8">
        <v>184</v>
      </c>
      <c r="G314" s="10"/>
      <c r="H314" s="9" t="str">
        <f>IF(G314="","",E314*G314)</f>
        <v/>
      </c>
      <c r="I314" s="11" t="str">
        <f>HYPERLINK("https://optomposuda.ru/product/piala-kruglaya-siyanie-nochi-13-sm-kor-16-sht-14405","открыть")</f>
        <v>открыть</v>
      </c>
    </row>
    <row r="315" spans="1:9" x14ac:dyDescent="0.25">
      <c r="A315" t="s">
        <v>2364</v>
      </c>
      <c r="B315" t="s">
        <v>2365</v>
      </c>
      <c r="C315" t="s">
        <v>1751</v>
      </c>
      <c r="D315" s="8">
        <v>13</v>
      </c>
      <c r="E315" s="9">
        <v>22.56</v>
      </c>
      <c r="F315" s="8">
        <v>130</v>
      </c>
      <c r="G315" s="10"/>
      <c r="H315" s="9" t="str">
        <f>IF(G315="","",E315*G315)</f>
        <v/>
      </c>
      <c r="I315" s="11" t="str">
        <f>HYPERLINK("https://optomposuda.ru/product/podstavka-pod-blyudo-10-sm","открыть")</f>
        <v>открыть</v>
      </c>
    </row>
    <row r="316" spans="1:9" x14ac:dyDescent="0.25">
      <c r="A316" t="s">
        <v>2366</v>
      </c>
      <c r="B316" t="s">
        <v>2367</v>
      </c>
      <c r="C316" t="s">
        <v>1751</v>
      </c>
      <c r="D316" s="8">
        <v>12</v>
      </c>
      <c r="E316" s="9">
        <v>103.94</v>
      </c>
      <c r="F316" s="8">
        <v>48</v>
      </c>
      <c r="G316" s="10"/>
      <c r="H316" s="9" t="str">
        <f>IF(G316="","",E316*G316)</f>
        <v/>
      </c>
      <c r="I316" s="11" t="str">
        <f>HYPERLINK("https://optomposuda.ru/product/podstavka-pod-blyudo-9-sm","открыть")</f>
        <v>открыть</v>
      </c>
    </row>
    <row r="317" spans="1:9" x14ac:dyDescent="0.25">
      <c r="A317" t="s">
        <v>2368</v>
      </c>
      <c r="B317" t="s">
        <v>2369</v>
      </c>
      <c r="C317" t="s">
        <v>1751</v>
      </c>
      <c r="D317" s="8">
        <v>8</v>
      </c>
      <c r="E317" s="9">
        <v>240.24</v>
      </c>
      <c r="F317" s="8">
        <v>49</v>
      </c>
      <c r="G317" s="10"/>
      <c r="H317" s="9" t="str">
        <f>IF(G317="","",E317*G317)</f>
        <v/>
      </c>
      <c r="I317" s="11" t="str">
        <f>HYPERLINK("https://optomposuda.ru/product/salatnik-ayvori-korally-15-cm","открыть")</f>
        <v>открыть</v>
      </c>
    </row>
    <row r="318" spans="1:9" x14ac:dyDescent="0.25">
      <c r="A318" t="s">
        <v>2370</v>
      </c>
      <c r="B318" t="s">
        <v>2371</v>
      </c>
      <c r="C318" t="s">
        <v>1751</v>
      </c>
      <c r="D318" s="8">
        <v>16</v>
      </c>
      <c r="E318" s="9">
        <v>192.92</v>
      </c>
      <c r="F318" s="8">
        <v>284</v>
      </c>
      <c r="G318" s="10"/>
      <c r="H318" s="9" t="str">
        <f>IF(G318="","",E318*G318)</f>
        <v/>
      </c>
      <c r="I318" s="11" t="str">
        <f>HYPERLINK("https://optomposuda.ru/product/salatnik-ayvori-korally-9-cm","открыть")</f>
        <v>открыть</v>
      </c>
    </row>
    <row r="319" spans="1:9" x14ac:dyDescent="0.25">
      <c r="A319" t="s">
        <v>2372</v>
      </c>
      <c r="B319" t="s">
        <v>2373</v>
      </c>
      <c r="C319" t="s">
        <v>1751</v>
      </c>
      <c r="D319" s="8">
        <v>8</v>
      </c>
      <c r="E319" s="9">
        <v>299.46</v>
      </c>
      <c r="F319" s="8">
        <v>1</v>
      </c>
      <c r="G319" s="10"/>
      <c r="H319" s="9" t="str">
        <f>IF(G319="","",E319*G319)</f>
        <v/>
      </c>
      <c r="I319" s="11" t="str">
        <f>HYPERLINK("https://optomposuda.ru/product/salatnik-aura-15-sm-beloe-serebro","открыть")</f>
        <v>открыть</v>
      </c>
    </row>
    <row r="320" spans="1:9" x14ac:dyDescent="0.25">
      <c r="A320" t="s">
        <v>2374</v>
      </c>
      <c r="B320" t="s">
        <v>2375</v>
      </c>
      <c r="C320" t="s">
        <v>1751</v>
      </c>
      <c r="D320" s="8">
        <v>8</v>
      </c>
      <c r="E320" s="9">
        <v>299.46</v>
      </c>
      <c r="F320" s="8">
        <v>253</v>
      </c>
      <c r="G320" s="10"/>
      <c r="H320" s="9" t="str">
        <f>IF(G320="","",E320*G320)</f>
        <v/>
      </c>
      <c r="I320" s="11" t="str">
        <f>HYPERLINK("https://optomposuda.ru/product/salatnik-aura-15-sm-goluboe-serebro","открыть")</f>
        <v>открыть</v>
      </c>
    </row>
    <row r="321" spans="1:9" x14ac:dyDescent="0.25">
      <c r="A321" t="s">
        <v>2376</v>
      </c>
      <c r="B321" t="s">
        <v>2377</v>
      </c>
      <c r="C321" t="s">
        <v>1751</v>
      </c>
      <c r="D321" s="8">
        <v>12</v>
      </c>
      <c r="E321" s="9">
        <v>238.98</v>
      </c>
      <c r="F321" s="8">
        <v>1</v>
      </c>
      <c r="G321" s="10"/>
      <c r="H321" s="9" t="str">
        <f>IF(G321="","",E321*G321)</f>
        <v/>
      </c>
      <c r="I321" s="11" t="str">
        <f>HYPERLINK("https://optomposuda.ru/product/salatnik-belyy-cvetok-15sm-339-192","открыть")</f>
        <v>открыть</v>
      </c>
    </row>
    <row r="322" spans="1:9" x14ac:dyDescent="0.25">
      <c r="A322" t="s">
        <v>2378</v>
      </c>
      <c r="B322" t="s">
        <v>2379</v>
      </c>
      <c r="C322" t="s">
        <v>1751</v>
      </c>
      <c r="D322" s="8">
        <v>6</v>
      </c>
      <c r="E322" s="9">
        <v>347.94</v>
      </c>
      <c r="F322" s="8">
        <v>205</v>
      </c>
      <c r="G322" s="10"/>
      <c r="H322" s="9" t="str">
        <f>IF(G322="","",E322*G322)</f>
        <v/>
      </c>
      <c r="I322" s="11" t="str">
        <f>HYPERLINK("https://optomposuda.ru/product/salatnik-vsplesk-20-sm-zolotoy","открыть")</f>
        <v>открыть</v>
      </c>
    </row>
    <row r="323" spans="1:9" x14ac:dyDescent="0.25">
      <c r="A323" t="s">
        <v>2380</v>
      </c>
      <c r="B323" t="s">
        <v>2381</v>
      </c>
      <c r="C323" t="s">
        <v>1751</v>
      </c>
      <c r="D323" s="8">
        <v>6</v>
      </c>
      <c r="E323" s="9">
        <v>347.94</v>
      </c>
      <c r="F323" s="8">
        <v>30</v>
      </c>
      <c r="G323" s="10"/>
      <c r="H323" s="9" t="str">
        <f>IF(G323="","",E323*G323)</f>
        <v/>
      </c>
      <c r="I323" s="11" t="str">
        <f>HYPERLINK("https://optomposuda.ru/product/salatnik-vsplesk-20-sm-krasnyy","открыть")</f>
        <v>открыть</v>
      </c>
    </row>
    <row r="324" spans="1:9" x14ac:dyDescent="0.25">
      <c r="A324" t="s">
        <v>2382</v>
      </c>
      <c r="B324" t="s">
        <v>2383</v>
      </c>
      <c r="C324" t="s">
        <v>1751</v>
      </c>
      <c r="D324" s="8">
        <v>6</v>
      </c>
      <c r="E324" s="9">
        <v>712.96</v>
      </c>
      <c r="F324" s="8">
        <v>93</v>
      </c>
      <c r="G324" s="10"/>
      <c r="H324" s="9" t="str">
        <f>IF(G324="","",E324*G324)</f>
        <v/>
      </c>
      <c r="I324" s="11" t="str">
        <f>HYPERLINK("https://optomposuda.ru/product/salatnik-izobilie-21-sm","открыть")</f>
        <v>открыть</v>
      </c>
    </row>
    <row r="325" spans="1:9" x14ac:dyDescent="0.25">
      <c r="A325" t="s">
        <v>2384</v>
      </c>
      <c r="B325" t="s">
        <v>2385</v>
      </c>
      <c r="C325" t="s">
        <v>1751</v>
      </c>
      <c r="D325" s="8">
        <v>8</v>
      </c>
      <c r="E325" s="9">
        <v>240.24</v>
      </c>
      <c r="F325" s="8">
        <v>31</v>
      </c>
      <c r="G325" s="10"/>
      <c r="H325" s="9" t="str">
        <f>IF(G325="","",E325*G325)</f>
        <v/>
      </c>
      <c r="I325" s="11" t="str">
        <f>HYPERLINK("https://optomposuda.ru/product/salatnik-kapuchino-mokko-15-cm","открыть")</f>
        <v>открыть</v>
      </c>
    </row>
    <row r="326" spans="1:9" x14ac:dyDescent="0.25">
      <c r="A326" t="s">
        <v>2386</v>
      </c>
      <c r="B326" t="s">
        <v>2387</v>
      </c>
      <c r="C326" t="s">
        <v>1751</v>
      </c>
      <c r="D326" s="8">
        <v>16</v>
      </c>
      <c r="E326" s="9">
        <v>192.92</v>
      </c>
      <c r="F326" s="8">
        <v>175</v>
      </c>
      <c r="G326" s="10"/>
      <c r="H326" s="9" t="str">
        <f>IF(G326="","",E326*G326)</f>
        <v/>
      </c>
      <c r="I326" s="11" t="str">
        <f>HYPERLINK("https://optomposuda.ru/product/salatnik-kapuchino-mokko-9-cm","открыть")</f>
        <v>открыть</v>
      </c>
    </row>
    <row r="327" spans="1:9" x14ac:dyDescent="0.25">
      <c r="A327" t="s">
        <v>2388</v>
      </c>
      <c r="B327" t="s">
        <v>2389</v>
      </c>
      <c r="C327" t="s">
        <v>1751</v>
      </c>
      <c r="D327" s="8">
        <v>8</v>
      </c>
      <c r="E327" s="9">
        <v>261.76</v>
      </c>
      <c r="F327" s="8">
        <v>400</v>
      </c>
      <c r="G327" s="10"/>
      <c r="H327" s="9" t="str">
        <f>IF(G327="","",E327*G327)</f>
        <v/>
      </c>
      <c r="I327" s="11" t="str">
        <f>HYPERLINK("https://optomposuda.ru/product/salatnik-korally-ayvori-13-cm","открыть")</f>
        <v>открыть</v>
      </c>
    </row>
    <row r="328" spans="1:9" x14ac:dyDescent="0.25">
      <c r="A328" t="s">
        <v>2390</v>
      </c>
      <c r="B328" t="s">
        <v>2391</v>
      </c>
      <c r="C328" t="s">
        <v>1751</v>
      </c>
      <c r="D328" s="8">
        <v>8</v>
      </c>
      <c r="E328" s="9">
        <v>240.24</v>
      </c>
      <c r="F328" s="8">
        <v>47</v>
      </c>
      <c r="G328" s="10"/>
      <c r="H328" s="9" t="str">
        <f>IF(G328="","",E328*G328)</f>
        <v/>
      </c>
      <c r="I328" s="11" t="str">
        <f>HYPERLINK("https://optomposuda.ru/product/salatnik-korally-ayvori-15-cm","открыть")</f>
        <v>открыть</v>
      </c>
    </row>
    <row r="329" spans="1:9" x14ac:dyDescent="0.25">
      <c r="A329" t="s">
        <v>2392</v>
      </c>
      <c r="B329" t="s">
        <v>2393</v>
      </c>
      <c r="C329" t="s">
        <v>1751</v>
      </c>
      <c r="D329" s="8">
        <v>16</v>
      </c>
      <c r="E329" s="9">
        <v>192.92</v>
      </c>
      <c r="F329" s="8">
        <v>279</v>
      </c>
      <c r="G329" s="10"/>
      <c r="H329" s="9" t="str">
        <f>IF(G329="","",E329*G329)</f>
        <v/>
      </c>
      <c r="I329" s="11" t="str">
        <f>HYPERLINK("https://optomposuda.ru/product/salatnik-korally-ayvori-9-cm","открыть")</f>
        <v>открыть</v>
      </c>
    </row>
    <row r="330" spans="1:9" x14ac:dyDescent="0.25">
      <c r="A330" t="s">
        <v>2394</v>
      </c>
      <c r="B330" t="s">
        <v>2395</v>
      </c>
      <c r="C330" t="s">
        <v>1751</v>
      </c>
      <c r="D330" s="8">
        <v>8</v>
      </c>
      <c r="E330" s="9">
        <v>240.24</v>
      </c>
      <c r="F330" s="8">
        <v>27</v>
      </c>
      <c r="G330" s="10"/>
      <c r="H330" s="9" t="str">
        <f>IF(G330="","",E330*G330)</f>
        <v/>
      </c>
      <c r="I330" s="11" t="str">
        <f>HYPERLINK("https://optomposuda.ru/product/salatnik-mokko-kapuchino-15-cm","открыть")</f>
        <v>открыть</v>
      </c>
    </row>
    <row r="331" spans="1:9" x14ac:dyDescent="0.25">
      <c r="A331" t="s">
        <v>2396</v>
      </c>
      <c r="B331" t="s">
        <v>2397</v>
      </c>
      <c r="C331" t="s">
        <v>1751</v>
      </c>
      <c r="D331" s="8">
        <v>16</v>
      </c>
      <c r="E331" s="9">
        <v>192.92</v>
      </c>
      <c r="F331" s="8">
        <v>184</v>
      </c>
      <c r="G331" s="10"/>
      <c r="H331" s="9" t="str">
        <f>IF(G331="","",E331*G331)</f>
        <v/>
      </c>
      <c r="I331" s="11" t="str">
        <f>HYPERLINK("https://optomposuda.ru/product/salatnik-mokko-kapuchino-9-cm","открыть")</f>
        <v>открыть</v>
      </c>
    </row>
    <row r="332" spans="1:9" x14ac:dyDescent="0.25">
      <c r="A332" t="s">
        <v>2398</v>
      </c>
      <c r="B332" t="s">
        <v>2399</v>
      </c>
      <c r="C332" t="s">
        <v>1751</v>
      </c>
      <c r="D332" s="8">
        <v>6</v>
      </c>
      <c r="E332" s="9">
        <v>410.9</v>
      </c>
      <c r="F332" s="8">
        <v>203</v>
      </c>
      <c r="G332" s="10"/>
      <c r="H332" s="9" t="str">
        <f>IF(G332="","",E332*G332)</f>
        <v/>
      </c>
      <c r="I332" s="11" t="str">
        <f>HYPERLINK("https://optomposuda.ru/product/salatnik-rozovyy-son-20-sm","открыть")</f>
        <v>открыть</v>
      </c>
    </row>
    <row r="333" spans="1:9" x14ac:dyDescent="0.25">
      <c r="A333" t="s">
        <v>2400</v>
      </c>
      <c r="B333" t="s">
        <v>2401</v>
      </c>
      <c r="C333" t="s">
        <v>1751</v>
      </c>
      <c r="D333" s="8">
        <v>6</v>
      </c>
      <c r="E333" s="9">
        <v>410.9</v>
      </c>
      <c r="F333" s="8">
        <v>292</v>
      </c>
      <c r="G333" s="10"/>
      <c r="H333" s="9" t="str">
        <f>IF(G333="","",E333*G333)</f>
        <v/>
      </c>
      <c r="I333" s="11" t="str">
        <f>HYPERLINK("https://optomposuda.ru/product/salatnik-torzhestvo-20-sm-zoloto","открыть")</f>
        <v>открыть</v>
      </c>
    </row>
    <row r="334" spans="1:9" x14ac:dyDescent="0.25">
      <c r="A334" t="s">
        <v>2402</v>
      </c>
      <c r="B334" t="s">
        <v>2403</v>
      </c>
      <c r="C334" t="s">
        <v>1751</v>
      </c>
      <c r="D334" s="8">
        <v>6</v>
      </c>
      <c r="E334" s="9">
        <v>410.9</v>
      </c>
      <c r="F334" s="8">
        <v>311</v>
      </c>
      <c r="G334" s="10"/>
      <c r="H334" s="9" t="str">
        <f>IF(G334="","",E334*G334)</f>
        <v/>
      </c>
      <c r="I334" s="11" t="str">
        <f>HYPERLINK("https://optomposuda.ru/product/salatnik-torzhestvo-20-sm-serebro","открыть")</f>
        <v>открыть</v>
      </c>
    </row>
    <row r="335" spans="1:9" x14ac:dyDescent="0.25">
      <c r="A335" t="s">
        <v>2404</v>
      </c>
      <c r="B335" t="s">
        <v>2405</v>
      </c>
      <c r="C335" t="s">
        <v>1751</v>
      </c>
      <c r="D335" s="8">
        <v>16</v>
      </c>
      <c r="E335" s="9">
        <v>222.02</v>
      </c>
      <c r="F335" s="8">
        <v>261</v>
      </c>
      <c r="G335" s="10"/>
      <c r="H335" s="9" t="str">
        <f>IF(G335="","",E335*G335)</f>
        <v/>
      </c>
      <c r="I335" s="11" t="str">
        <f>HYPERLINK("https://optomposuda.ru/product/salatnik-feyerverk-13-sm-krasnyy","открыть")</f>
        <v>открыть</v>
      </c>
    </row>
    <row r="336" spans="1:9" x14ac:dyDescent="0.25">
      <c r="A336" t="s">
        <v>2406</v>
      </c>
      <c r="B336" t="s">
        <v>2407</v>
      </c>
      <c r="C336" t="s">
        <v>1751</v>
      </c>
      <c r="D336" s="8">
        <v>16</v>
      </c>
      <c r="E336" s="9">
        <v>217.46</v>
      </c>
      <c r="F336" s="8">
        <v>178</v>
      </c>
      <c r="G336" s="10"/>
      <c r="H336" s="9" t="str">
        <f>IF(G336="","",E336*G336)</f>
        <v/>
      </c>
      <c r="I336" s="11" t="str">
        <f>HYPERLINK("https://optomposuda.ru/product/salatnik-feyerverk-13-sm-siniy","открыть")</f>
        <v>открыть</v>
      </c>
    </row>
    <row r="337" spans="1:9" x14ac:dyDescent="0.25">
      <c r="A337" t="s">
        <v>2408</v>
      </c>
      <c r="B337" t="s">
        <v>2409</v>
      </c>
      <c r="C337" t="s">
        <v>1751</v>
      </c>
      <c r="D337" s="8">
        <v>16</v>
      </c>
      <c r="E337" s="9">
        <v>242.54</v>
      </c>
      <c r="F337" s="8">
        <v>159</v>
      </c>
      <c r="G337" s="10"/>
      <c r="H337" s="9" t="str">
        <f>IF(G337="","",E337*G337)</f>
        <v/>
      </c>
      <c r="I337" s="11" t="str">
        <f>HYPERLINK("https://optomposuda.ru/product/salatnik-feyerverk-13-sm-shampan","открыть")</f>
        <v>открыть</v>
      </c>
    </row>
    <row r="338" spans="1:9" x14ac:dyDescent="0.25">
      <c r="A338" t="s">
        <v>2410</v>
      </c>
      <c r="B338" t="s">
        <v>2411</v>
      </c>
      <c r="C338" t="s">
        <v>1751</v>
      </c>
      <c r="D338" s="8">
        <v>4</v>
      </c>
      <c r="E338" s="9">
        <v>529.76</v>
      </c>
      <c r="F338" s="8">
        <v>82</v>
      </c>
      <c r="G338" s="10"/>
      <c r="H338" s="9" t="str">
        <f>IF(G338="","",E338*G338)</f>
        <v/>
      </c>
      <c r="I338" s="11" t="str">
        <f>HYPERLINK("https://optomposuda.ru/product/salatnik-feyerverk-21-sm-krasnyy","открыть")</f>
        <v>открыть</v>
      </c>
    </row>
    <row r="339" spans="1:9" x14ac:dyDescent="0.25">
      <c r="A339" t="s">
        <v>2412</v>
      </c>
      <c r="B339" t="s">
        <v>2413</v>
      </c>
      <c r="C339" t="s">
        <v>1751</v>
      </c>
      <c r="D339" s="8">
        <v>6</v>
      </c>
      <c r="E339" s="9">
        <v>529.76</v>
      </c>
      <c r="F339" s="8">
        <v>138</v>
      </c>
      <c r="G339" s="10"/>
      <c r="H339" s="9" t="str">
        <f>IF(G339="","",E339*G339)</f>
        <v/>
      </c>
      <c r="I339" s="11" t="str">
        <f>HYPERLINK("https://optomposuda.ru/product/salatnik-feyerverk-21-sm-siniy","открыть")</f>
        <v>открыть</v>
      </c>
    </row>
    <row r="340" spans="1:9" x14ac:dyDescent="0.25">
      <c r="A340" t="s">
        <v>2414</v>
      </c>
      <c r="B340" t="s">
        <v>2415</v>
      </c>
      <c r="C340" t="s">
        <v>1751</v>
      </c>
      <c r="D340" s="8">
        <v>6</v>
      </c>
      <c r="E340" s="9">
        <v>585.87</v>
      </c>
      <c r="F340" s="8">
        <v>211</v>
      </c>
      <c r="G340" s="10"/>
      <c r="H340" s="9" t="str">
        <f>IF(G340="","",E340*G340)</f>
        <v/>
      </c>
      <c r="I340" s="11" t="str">
        <f>HYPERLINK("https://optomposuda.ru/product/salatnik-feyerverk-21-sm-shampan","открыть")</f>
        <v>открыть</v>
      </c>
    </row>
    <row r="341" spans="1:9" x14ac:dyDescent="0.25">
      <c r="A341" t="s">
        <v>2416</v>
      </c>
      <c r="B341" t="s">
        <v>2417</v>
      </c>
      <c r="C341" t="s">
        <v>1751</v>
      </c>
      <c r="D341" s="8">
        <v>6</v>
      </c>
      <c r="E341" s="9">
        <v>561.46</v>
      </c>
      <c r="F341" s="8">
        <v>250</v>
      </c>
      <c r="G341" s="10"/>
      <c r="H341" s="9" t="str">
        <f>IF(G341="","",E341*G341)</f>
        <v/>
      </c>
      <c r="I341" s="11" t="str">
        <f>HYPERLINK("https://optomposuda.ru/product/salatnik-green-tea-21-sm","открыть")</f>
        <v>открыть</v>
      </c>
    </row>
    <row r="342" spans="1:9" x14ac:dyDescent="0.25">
      <c r="A342" t="s">
        <v>2418</v>
      </c>
      <c r="B342" t="s">
        <v>2419</v>
      </c>
      <c r="C342" t="s">
        <v>1751</v>
      </c>
      <c r="D342" s="8">
        <v>8</v>
      </c>
      <c r="E342" s="9">
        <v>308.93</v>
      </c>
      <c r="F342" s="8">
        <v>325</v>
      </c>
      <c r="G342" s="10"/>
      <c r="H342" s="9" t="str">
        <f>IF(G342="","",E342*G342)</f>
        <v/>
      </c>
      <c r="I342" s="11" t="str">
        <f>HYPERLINK("https://optomposuda.ru/product/salatnik-inspiration-green-15cm-16459-1","открыть")</f>
        <v>открыть</v>
      </c>
    </row>
    <row r="343" spans="1:9" x14ac:dyDescent="0.25">
      <c r="A343" t="s">
        <v>2420</v>
      </c>
      <c r="B343" t="s">
        <v>2421</v>
      </c>
      <c r="C343" t="s">
        <v>1751</v>
      </c>
      <c r="D343" s="8">
        <v>6</v>
      </c>
      <c r="E343" s="9">
        <v>371.66</v>
      </c>
      <c r="F343" s="8">
        <v>57</v>
      </c>
      <c r="G343" s="10"/>
      <c r="H343" s="9" t="str">
        <f>IF(G343="","",E343*G343)</f>
        <v/>
      </c>
      <c r="I343" s="11" t="str">
        <f>HYPERLINK("https://optomposuda.ru/product/salatnik-inspiration-green-21cm-16472-1","открыть")</f>
        <v>открыть</v>
      </c>
    </row>
    <row r="344" spans="1:9" x14ac:dyDescent="0.25">
      <c r="A344" t="s">
        <v>2422</v>
      </c>
      <c r="B344" t="s">
        <v>2423</v>
      </c>
      <c r="C344" t="s">
        <v>1751</v>
      </c>
      <c r="D344" s="8">
        <v>4</v>
      </c>
      <c r="E344" s="9">
        <v>791.52</v>
      </c>
      <c r="F344" s="8">
        <v>311</v>
      </c>
      <c r="G344" s="10"/>
      <c r="H344" s="9" t="str">
        <f>IF(G344="","",E344*G344)</f>
        <v/>
      </c>
      <c r="I344" s="11" t="str">
        <f>HYPERLINK("https://optomposuda.ru/product/salatnik-inspiration-green-22cm-16460-1","открыть")</f>
        <v>открыть</v>
      </c>
    </row>
    <row r="345" spans="1:9" x14ac:dyDescent="0.25">
      <c r="A345" t="s">
        <v>2424</v>
      </c>
      <c r="B345" t="s">
        <v>2425</v>
      </c>
      <c r="C345" t="s">
        <v>1751</v>
      </c>
      <c r="D345" s="8">
        <v>4</v>
      </c>
      <c r="E345" s="9">
        <v>982.74</v>
      </c>
      <c r="F345" s="8">
        <v>113</v>
      </c>
      <c r="G345" s="10"/>
      <c r="H345" s="9" t="str">
        <f>IF(G345="","",E345*G345)</f>
        <v/>
      </c>
      <c r="I345" s="11" t="str">
        <f>HYPERLINK("https://optomposuda.ru/product/salatnik-inspiration-green-30cm-16473-1","открыть")</f>
        <v>открыть</v>
      </c>
    </row>
    <row r="346" spans="1:9" x14ac:dyDescent="0.25">
      <c r="A346" t="s">
        <v>2426</v>
      </c>
      <c r="B346" t="s">
        <v>2427</v>
      </c>
      <c r="C346" t="s">
        <v>1751</v>
      </c>
      <c r="D346" s="8">
        <v>8</v>
      </c>
      <c r="E346" s="9">
        <v>482.86</v>
      </c>
      <c r="F346" s="8">
        <v>378</v>
      </c>
      <c r="G346" s="10"/>
      <c r="H346" s="9" t="str">
        <f>IF(G346="","",E346*G346)</f>
        <v/>
      </c>
      <c r="I346" s="11" t="str">
        <f>HYPERLINK("https://optomposuda.ru/product/salatnik-inspiration-15cm-16459-339-057","открыть")</f>
        <v>открыть</v>
      </c>
    </row>
    <row r="347" spans="1:9" x14ac:dyDescent="0.25">
      <c r="A347" t="s">
        <v>2428</v>
      </c>
      <c r="B347" t="s">
        <v>2429</v>
      </c>
      <c r="C347" t="s">
        <v>1751</v>
      </c>
      <c r="D347" s="8">
        <v>6</v>
      </c>
      <c r="E347" s="9">
        <v>525.64</v>
      </c>
      <c r="F347" s="8">
        <v>367</v>
      </c>
      <c r="G347" s="10"/>
      <c r="H347" s="9" t="str">
        <f>IF(G347="","",E347*G347)</f>
        <v/>
      </c>
      <c r="I347" s="11" t="str">
        <f>HYPERLINK("https://optomposuda.ru/product/salatnik-inspiration-21cm-16472-339-056","открыть")</f>
        <v>открыть</v>
      </c>
    </row>
    <row r="348" spans="1:9" x14ac:dyDescent="0.25">
      <c r="A348" t="s">
        <v>2430</v>
      </c>
      <c r="B348" t="s">
        <v>2431</v>
      </c>
      <c r="C348" t="s">
        <v>1751</v>
      </c>
      <c r="D348" s="8">
        <v>4</v>
      </c>
      <c r="E348" s="9">
        <v>686.85</v>
      </c>
      <c r="F348" s="8">
        <v>260</v>
      </c>
      <c r="G348" s="10"/>
      <c r="H348" s="9" t="str">
        <f>IF(G348="","",E348*G348)</f>
        <v/>
      </c>
      <c r="I348" s="11" t="str">
        <f>HYPERLINK("https://optomposuda.ru/product/salatnik-inspiration-22cm-16460-339-060","открыть")</f>
        <v>открыть</v>
      </c>
    </row>
    <row r="349" spans="1:9" x14ac:dyDescent="0.25">
      <c r="A349" t="s">
        <v>2432</v>
      </c>
      <c r="B349" t="s">
        <v>2433</v>
      </c>
      <c r="C349" t="s">
        <v>1751</v>
      </c>
      <c r="D349" s="8">
        <v>4</v>
      </c>
      <c r="E349" s="9">
        <v>961.61</v>
      </c>
      <c r="F349" s="8">
        <v>316</v>
      </c>
      <c r="G349" s="10"/>
      <c r="H349" s="9" t="str">
        <f>IF(G349="","",E349*G349)</f>
        <v/>
      </c>
      <c r="I349" s="11" t="str">
        <f>HYPERLINK("https://optomposuda.ru/product/salatnik-inspiration-30cm-16473-339-055","открыть")</f>
        <v>открыть</v>
      </c>
    </row>
    <row r="350" spans="1:9" x14ac:dyDescent="0.25">
      <c r="A350" t="s">
        <v>2434</v>
      </c>
      <c r="B350" t="s">
        <v>2435</v>
      </c>
      <c r="C350" t="s">
        <v>1751</v>
      </c>
      <c r="D350" s="8">
        <v>8</v>
      </c>
      <c r="E350" s="9">
        <v>277.18</v>
      </c>
      <c r="F350" s="8">
        <v>200</v>
      </c>
      <c r="G350" s="10"/>
      <c r="H350" s="9" t="str">
        <f>IF(G350="","",E350*G350)</f>
        <v/>
      </c>
      <c r="I350" s="11" t="str">
        <f>HYPERLINK("https://optomposuda.ru/product/salatnik-15-sm-akvarel-biryuza","открыть")</f>
        <v>открыть</v>
      </c>
    </row>
    <row r="351" spans="1:9" x14ac:dyDescent="0.25">
      <c r="A351" t="s">
        <v>2436</v>
      </c>
      <c r="B351" t="s">
        <v>2437</v>
      </c>
      <c r="C351" t="s">
        <v>1751</v>
      </c>
      <c r="D351" s="8">
        <v>8</v>
      </c>
      <c r="E351" s="9">
        <v>221.13</v>
      </c>
      <c r="F351" s="8">
        <v>68</v>
      </c>
      <c r="G351" s="10"/>
      <c r="H351" s="9" t="str">
        <f>IF(G351="","",E351*G351)</f>
        <v/>
      </c>
      <c r="I351" s="11" t="str">
        <f>HYPERLINK("https://optomposuda.ru/product/salatnik-15-sm-akvarel-zolotoy-pesok","открыть")</f>
        <v>открыть</v>
      </c>
    </row>
    <row r="352" spans="1:9" x14ac:dyDescent="0.25">
      <c r="A352" t="s">
        <v>2438</v>
      </c>
      <c r="B352" t="s">
        <v>2439</v>
      </c>
      <c r="C352" t="s">
        <v>1751</v>
      </c>
      <c r="D352" s="8">
        <v>8</v>
      </c>
      <c r="E352" s="9">
        <v>233.09</v>
      </c>
      <c r="F352" s="8">
        <v>241</v>
      </c>
      <c r="G352" s="10"/>
      <c r="H352" s="9" t="str">
        <f>IF(G352="","",E352*G352)</f>
        <v/>
      </c>
      <c r="I352" s="11" t="str">
        <f>HYPERLINK("https://optomposuda.ru/product/salatnik-15-sm-akvarel-roza","открыть")</f>
        <v>открыть</v>
      </c>
    </row>
    <row r="353" spans="1:9" x14ac:dyDescent="0.25">
      <c r="A353" t="s">
        <v>2440</v>
      </c>
      <c r="B353" t="s">
        <v>2441</v>
      </c>
      <c r="C353" t="s">
        <v>1751</v>
      </c>
      <c r="D353" s="8">
        <v>8</v>
      </c>
      <c r="E353" s="9">
        <v>600.36</v>
      </c>
      <c r="F353" s="8">
        <v>280</v>
      </c>
      <c r="G353" s="10"/>
      <c r="H353" s="9" t="str">
        <f>IF(G353="","",E353*G353)</f>
        <v/>
      </c>
      <c r="I353" s="11" t="str">
        <f>HYPERLINK("https://optomposuda.ru/product/salatnik-15-sm-gelios","открыть")</f>
        <v>открыть</v>
      </c>
    </row>
    <row r="354" spans="1:9" x14ac:dyDescent="0.25">
      <c r="A354" t="s">
        <v>2442</v>
      </c>
      <c r="B354" t="s">
        <v>2443</v>
      </c>
      <c r="C354" t="s">
        <v>1751</v>
      </c>
      <c r="D354" s="8">
        <v>12</v>
      </c>
      <c r="E354" s="9">
        <v>294.64</v>
      </c>
      <c r="F354" s="8">
        <v>69</v>
      </c>
      <c r="G354" s="10"/>
      <c r="H354" s="9" t="str">
        <f>IF(G354="","",E354*G354)</f>
        <v/>
      </c>
      <c r="I354" s="11" t="str">
        <f>HYPERLINK("https://optomposuda.ru/product/salatnik-15-sm-zolotaya-osen-15483-g","открыть")</f>
        <v>открыть</v>
      </c>
    </row>
    <row r="355" spans="1:9" x14ac:dyDescent="0.25">
      <c r="A355" t="s">
        <v>2444</v>
      </c>
      <c r="B355" t="s">
        <v>2445</v>
      </c>
      <c r="C355" t="s">
        <v>1751</v>
      </c>
      <c r="D355" s="8">
        <v>8</v>
      </c>
      <c r="E355" s="9">
        <v>730.88</v>
      </c>
      <c r="F355" s="8">
        <v>226</v>
      </c>
      <c r="G355" s="10"/>
      <c r="H355" s="9" t="str">
        <f>IF(G355="","",E355*G355)</f>
        <v/>
      </c>
      <c r="I355" s="11" t="str">
        <f>HYPERLINK("https://optomposuda.ru/product/salatnik-15-sm-lunnyy-svet","открыть")</f>
        <v>открыть</v>
      </c>
    </row>
    <row r="356" spans="1:9" x14ac:dyDescent="0.25">
      <c r="A356" t="s">
        <v>2446</v>
      </c>
      <c r="B356" t="s">
        <v>2447</v>
      </c>
      <c r="C356" t="s">
        <v>1751</v>
      </c>
      <c r="D356" s="8">
        <v>8</v>
      </c>
      <c r="E356" s="9">
        <v>254.15</v>
      </c>
      <c r="F356" s="8">
        <v>37</v>
      </c>
      <c r="G356" s="10"/>
      <c r="H356" s="9" t="str">
        <f>IF(G356="","",E356*G356)</f>
        <v/>
      </c>
      <c r="I356" s="11" t="str">
        <f>HYPERLINK("https://optomposuda.ru/product/salatnik-15-sm-noktyurn","открыть")</f>
        <v>открыть</v>
      </c>
    </row>
    <row r="357" spans="1:9" x14ac:dyDescent="0.25">
      <c r="A357" t="s">
        <v>2448</v>
      </c>
      <c r="B357" t="s">
        <v>2449</v>
      </c>
      <c r="C357" t="s">
        <v>1751</v>
      </c>
      <c r="D357" s="8">
        <v>12</v>
      </c>
      <c r="E357" s="9">
        <v>471.81</v>
      </c>
      <c r="F357" s="8">
        <v>314</v>
      </c>
      <c r="G357" s="10"/>
      <c r="H357" s="9" t="str">
        <f>IF(G357="","",E357*G357)</f>
        <v/>
      </c>
      <c r="I357" s="11" t="str">
        <f>HYPERLINK("https://optomposuda.ru/product/salatnik-15-sm-osenniy-vals-15483-v","открыть")</f>
        <v>открыть</v>
      </c>
    </row>
    <row r="358" spans="1:9" x14ac:dyDescent="0.25">
      <c r="A358" t="s">
        <v>2450</v>
      </c>
      <c r="B358" t="s">
        <v>2451</v>
      </c>
      <c r="C358" t="s">
        <v>1751</v>
      </c>
      <c r="D358" s="8">
        <v>8</v>
      </c>
      <c r="E358" s="9">
        <v>274.89</v>
      </c>
      <c r="F358" s="8">
        <v>131</v>
      </c>
      <c r="G358" s="10"/>
      <c r="H358" s="9" t="str">
        <f>IF(G358="","",E358*G358)</f>
        <v/>
      </c>
      <c r="I358" s="11" t="str">
        <f>HYPERLINK("https://optomposuda.ru/product/salatnik-15-sm-ellada","открыть")</f>
        <v>открыть</v>
      </c>
    </row>
    <row r="359" spans="1:9" x14ac:dyDescent="0.25">
      <c r="A359" t="s">
        <v>2452</v>
      </c>
      <c r="B359" t="s">
        <v>2453</v>
      </c>
      <c r="C359" t="s">
        <v>1751</v>
      </c>
      <c r="D359" s="8">
        <v>8</v>
      </c>
      <c r="E359" s="9">
        <v>458.25</v>
      </c>
      <c r="F359" s="8">
        <v>152</v>
      </c>
      <c r="G359" s="10"/>
      <c r="H359" s="9" t="str">
        <f>IF(G359="","",E359*G359)</f>
        <v/>
      </c>
      <c r="I359" s="11" t="str">
        <f>HYPERLINK("https://optomposuda.ru/product/salatnik-15-sm-aurora","открыть")</f>
        <v>открыть</v>
      </c>
    </row>
    <row r="360" spans="1:9" x14ac:dyDescent="0.25">
      <c r="A360" t="s">
        <v>2454</v>
      </c>
      <c r="B360" t="s">
        <v>2455</v>
      </c>
      <c r="C360" t="s">
        <v>1751</v>
      </c>
      <c r="D360" s="8">
        <v>8</v>
      </c>
      <c r="E360" s="9">
        <v>458.25</v>
      </c>
      <c r="F360" s="8">
        <v>124</v>
      </c>
      <c r="G360" s="10"/>
      <c r="H360" s="9" t="str">
        <f>IF(G360="","",E360*G360)</f>
        <v/>
      </c>
      <c r="I360" s="11" t="str">
        <f>HYPERLINK("https://optomposuda.ru/product/salatnik-15-sm-north-wind","открыть")</f>
        <v>открыть</v>
      </c>
    </row>
    <row r="361" spans="1:9" x14ac:dyDescent="0.25">
      <c r="A361" t="s">
        <v>2456</v>
      </c>
      <c r="B361" t="s">
        <v>2457</v>
      </c>
      <c r="C361" t="s">
        <v>1751</v>
      </c>
      <c r="D361" s="8">
        <v>8</v>
      </c>
      <c r="E361" s="9">
        <v>183.36</v>
      </c>
      <c r="F361" s="8">
        <v>275</v>
      </c>
      <c r="G361" s="10"/>
      <c r="H361" s="9" t="str">
        <f>IF(G361="","",E361*G361)</f>
        <v/>
      </c>
      <c r="I361" s="11" t="str">
        <f>HYPERLINK("https://optomposuda.ru/product/salatnik-15-sm-rio","открыть")</f>
        <v>открыть</v>
      </c>
    </row>
    <row r="362" spans="1:9" x14ac:dyDescent="0.25">
      <c r="A362" t="s">
        <v>2458</v>
      </c>
      <c r="B362" t="s">
        <v>2459</v>
      </c>
      <c r="C362" t="s">
        <v>1751</v>
      </c>
      <c r="D362" s="8">
        <v>8</v>
      </c>
      <c r="E362" s="9">
        <v>359.47</v>
      </c>
      <c r="F362" s="8">
        <v>242</v>
      </c>
      <c r="G362" s="10"/>
      <c r="H362" s="9" t="str">
        <f>IF(G362="","",E362*G362)</f>
        <v/>
      </c>
      <c r="I362" s="11" t="str">
        <f>HYPERLINK("https://optomposuda.ru/product/salatnik-18-sm-agava","открыть")</f>
        <v>открыть</v>
      </c>
    </row>
    <row r="363" spans="1:9" x14ac:dyDescent="0.25">
      <c r="A363" t="s">
        <v>2460</v>
      </c>
      <c r="B363" t="s">
        <v>2461</v>
      </c>
      <c r="C363" t="s">
        <v>1751</v>
      </c>
      <c r="D363" s="8">
        <v>8</v>
      </c>
      <c r="E363" s="9">
        <v>232.6</v>
      </c>
      <c r="F363" s="8">
        <v>63</v>
      </c>
      <c r="G363" s="10"/>
      <c r="H363" s="9" t="str">
        <f>IF(G363="","",E363*G363)</f>
        <v/>
      </c>
      <c r="I363" s="11" t="str">
        <f>HYPERLINK("https://optomposuda.ru/product/salatnik-18-sm-rio","открыть")</f>
        <v>открыть</v>
      </c>
    </row>
    <row r="364" spans="1:9" x14ac:dyDescent="0.25">
      <c r="A364" t="s">
        <v>2462</v>
      </c>
      <c r="B364" t="s">
        <v>2463</v>
      </c>
      <c r="C364" t="s">
        <v>1751</v>
      </c>
      <c r="D364" s="8">
        <v>6</v>
      </c>
      <c r="E364" s="9">
        <v>226.15</v>
      </c>
      <c r="F364" s="8">
        <v>259</v>
      </c>
      <c r="G364" s="10"/>
      <c r="H364" s="9" t="str">
        <f>IF(G364="","",E364*G364)</f>
        <v/>
      </c>
      <c r="I364" s="11" t="str">
        <f>HYPERLINK("https://optomposuda.ru/product/salatnik-20-sm-marseille","открыть")</f>
        <v>открыть</v>
      </c>
    </row>
    <row r="365" spans="1:9" x14ac:dyDescent="0.25">
      <c r="A365" t="s">
        <v>2464</v>
      </c>
      <c r="B365" t="s">
        <v>2465</v>
      </c>
      <c r="C365" t="s">
        <v>1751</v>
      </c>
      <c r="D365" s="8">
        <v>4</v>
      </c>
      <c r="E365" s="9">
        <v>620.3</v>
      </c>
      <c r="F365" s="8">
        <v>288</v>
      </c>
      <c r="G365" s="10"/>
      <c r="H365" s="9" t="str">
        <f>IF(G365="","",E365*G365)</f>
        <v/>
      </c>
      <c r="I365" s="11" t="str">
        <f>HYPERLINK("https://optomposuda.ru/product/salatnik-21-sm-inspiration-amber-16460-v","открыть")</f>
        <v>открыть</v>
      </c>
    </row>
    <row r="366" spans="1:9" x14ac:dyDescent="0.25">
      <c r="A366" t="s">
        <v>2466</v>
      </c>
      <c r="B366" t="s">
        <v>2467</v>
      </c>
      <c r="C366" t="s">
        <v>1751</v>
      </c>
      <c r="D366" s="8">
        <v>4</v>
      </c>
      <c r="E366" s="9">
        <v>359.47</v>
      </c>
      <c r="F366" s="8">
        <v>159</v>
      </c>
      <c r="G366" s="10"/>
      <c r="H366" s="9" t="str">
        <f>IF(G366="","",E366*G366)</f>
        <v/>
      </c>
      <c r="I366" s="11" t="str">
        <f>HYPERLINK("https://optomposuda.ru/product/salatnik-21-sm-rio","открыть")</f>
        <v>открыть</v>
      </c>
    </row>
    <row r="367" spans="1:9" x14ac:dyDescent="0.25">
      <c r="A367" t="s">
        <v>2468</v>
      </c>
      <c r="B367" t="s">
        <v>2469</v>
      </c>
      <c r="C367" t="s">
        <v>1751</v>
      </c>
      <c r="D367" s="8">
        <v>6</v>
      </c>
      <c r="E367" s="9">
        <v>823.69</v>
      </c>
      <c r="F367" s="8">
        <v>158</v>
      </c>
      <c r="G367" s="10"/>
      <c r="H367" s="9" t="str">
        <f>IF(G367="","",E367*G367)</f>
        <v/>
      </c>
      <c r="I367" s="11" t="str">
        <f>HYPERLINK("https://optomposuda.ru/product/salatnik-21-sm-silver-frost","открыть")</f>
        <v>открыть</v>
      </c>
    </row>
    <row r="368" spans="1:9" x14ac:dyDescent="0.25">
      <c r="A368" t="s">
        <v>2470</v>
      </c>
      <c r="B368" t="s">
        <v>2471</v>
      </c>
      <c r="C368" t="s">
        <v>1751</v>
      </c>
      <c r="D368" s="8">
        <v>6</v>
      </c>
      <c r="E368" s="9">
        <v>1055.71</v>
      </c>
      <c r="F368" s="8">
        <v>165</v>
      </c>
      <c r="G368" s="10"/>
      <c r="H368" s="9" t="str">
        <f>IF(G368="","",E368*G368)</f>
        <v/>
      </c>
      <c r="I368" s="11" t="str">
        <f>HYPERLINK("https://optomposuda.ru/product/salatnik-24-sm-silver-frost","открыть")</f>
        <v>открыть</v>
      </c>
    </row>
    <row r="369" spans="1:9" x14ac:dyDescent="0.25">
      <c r="A369" t="s">
        <v>2472</v>
      </c>
      <c r="B369" t="s">
        <v>2473</v>
      </c>
      <c r="C369" t="s">
        <v>1751</v>
      </c>
      <c r="D369" s="8">
        <v>6</v>
      </c>
      <c r="E369" s="9">
        <v>611.1</v>
      </c>
      <c r="F369" s="8">
        <v>14</v>
      </c>
      <c r="G369" s="10"/>
      <c r="H369" s="9" t="str">
        <f>IF(G369="","",E369*G369)</f>
        <v/>
      </c>
      <c r="I369" s="11" t="str">
        <f>HYPERLINK("https://optomposuda.ru/product/salatnik-27-sm-dary-sada-baklazhan","открыть")</f>
        <v>открыть</v>
      </c>
    </row>
    <row r="370" spans="1:9" x14ac:dyDescent="0.25">
      <c r="A370" t="s">
        <v>2474</v>
      </c>
      <c r="B370" t="s">
        <v>2475</v>
      </c>
      <c r="C370" t="s">
        <v>1751</v>
      </c>
      <c r="D370" s="8">
        <v>4</v>
      </c>
      <c r="E370" s="9">
        <v>686.15</v>
      </c>
      <c r="F370" s="8">
        <v>134</v>
      </c>
      <c r="G370" s="10"/>
      <c r="H370" s="9" t="str">
        <f>IF(G370="","",E370*G370)</f>
        <v/>
      </c>
      <c r="I370" s="11" t="str">
        <f>HYPERLINK("https://optomposuda.ru/product/salatnik-30-sm-dary-sada-baklazhan","открыть")</f>
        <v>открыть</v>
      </c>
    </row>
    <row r="371" spans="1:9" x14ac:dyDescent="0.25">
      <c r="A371" t="s">
        <v>2476</v>
      </c>
      <c r="B371" t="s">
        <v>2477</v>
      </c>
      <c r="C371" t="s">
        <v>1751</v>
      </c>
      <c r="D371" s="8">
        <v>4</v>
      </c>
      <c r="E371" s="9">
        <v>554.82</v>
      </c>
      <c r="F371" s="8">
        <v>10</v>
      </c>
      <c r="G371" s="10"/>
      <c r="H371" s="9" t="str">
        <f>IF(G371="","",E371*G371)</f>
        <v/>
      </c>
      <c r="I371" s="11" t="str">
        <f>HYPERLINK("https://optomposuda.ru/product/salatnik-30-sm-dary-sada-limon","открыть")</f>
        <v>открыть</v>
      </c>
    </row>
    <row r="372" spans="1:9" x14ac:dyDescent="0.25">
      <c r="A372" t="s">
        <v>2478</v>
      </c>
      <c r="B372" t="s">
        <v>2479</v>
      </c>
      <c r="C372" t="s">
        <v>1751</v>
      </c>
      <c r="D372" s="8">
        <v>4</v>
      </c>
      <c r="E372" s="9">
        <v>731.72</v>
      </c>
      <c r="F372" s="8">
        <v>124</v>
      </c>
      <c r="G372" s="10"/>
      <c r="H372" s="9" t="str">
        <f>IF(G372="","",E372*G372)</f>
        <v/>
      </c>
      <c r="I372" s="11" t="str">
        <f>HYPERLINK("https://optomposuda.ru/product/salatnik-35-sm-dary-sada-limon-нн000010719","открыть")</f>
        <v>открыть</v>
      </c>
    </row>
    <row r="373" spans="1:9" x14ac:dyDescent="0.25">
      <c r="A373" t="s">
        <v>2480</v>
      </c>
      <c r="B373" t="s">
        <v>2479</v>
      </c>
      <c r="C373" t="s">
        <v>1751</v>
      </c>
      <c r="D373" s="8">
        <v>4</v>
      </c>
      <c r="E373" s="9">
        <v>806.77</v>
      </c>
      <c r="F373" s="8">
        <v>49</v>
      </c>
      <c r="G373" s="10"/>
      <c r="H373" s="9" t="str">
        <f>IF(G373="","",E373*G373)</f>
        <v/>
      </c>
      <c r="I373" s="11" t="str">
        <f>HYPERLINK("https://optomposuda.ru/product/salatnik-35-sm-dary-sada-limon","открыть")</f>
        <v>открыть</v>
      </c>
    </row>
    <row r="374" spans="1:9" x14ac:dyDescent="0.25">
      <c r="A374" t="s">
        <v>2481</v>
      </c>
      <c r="B374" t="s">
        <v>2482</v>
      </c>
      <c r="C374" t="s">
        <v>1751</v>
      </c>
      <c r="D374" s="8">
        <v>4</v>
      </c>
      <c r="E374" s="9">
        <v>516.92</v>
      </c>
      <c r="F374" s="8">
        <v>171</v>
      </c>
      <c r="G374" s="10"/>
      <c r="H374" s="9" t="str">
        <f>IF(G374="","",E374*G374)</f>
        <v/>
      </c>
      <c r="I374" s="11" t="str">
        <f>HYPERLINK("https://optomposuda.ru/product/salatnik-glubokiy-virdzhiniya-zhemchuzhnaya-zoloto-22-sm","открыть")</f>
        <v>открыть</v>
      </c>
    </row>
    <row r="375" spans="1:9" x14ac:dyDescent="0.25">
      <c r="A375" t="s">
        <v>2483</v>
      </c>
      <c r="B375" t="s">
        <v>2484</v>
      </c>
      <c r="C375" t="s">
        <v>1751</v>
      </c>
      <c r="D375" s="8">
        <v>4</v>
      </c>
      <c r="E375" s="9">
        <v>516.92</v>
      </c>
      <c r="F375" s="8">
        <v>282</v>
      </c>
      <c r="G375" s="10"/>
      <c r="H375" s="9" t="str">
        <f>IF(G375="","",E375*G375)</f>
        <v/>
      </c>
      <c r="I375" s="11" t="str">
        <f>HYPERLINK("https://optomposuda.ru/product/salatnik-glubokiy-virdzhiniya-zhemchuzhnaya-serebro-22-sm","открыть")</f>
        <v>открыть</v>
      </c>
    </row>
    <row r="376" spans="1:9" x14ac:dyDescent="0.25">
      <c r="A376" t="s">
        <v>2485</v>
      </c>
      <c r="B376" t="s">
        <v>2486</v>
      </c>
      <c r="C376" t="s">
        <v>1751</v>
      </c>
      <c r="D376" s="8">
        <v>8</v>
      </c>
      <c r="E376" s="9">
        <v>549.78</v>
      </c>
      <c r="F376" s="8">
        <v>252</v>
      </c>
      <c r="G376" s="10"/>
      <c r="H376" s="9" t="str">
        <f>IF(G376="","",E376*G376)</f>
        <v/>
      </c>
      <c r="I376" s="11" t="str">
        <f>HYPERLINK("https://optomposuda.ru/product/salatnik-glubokiy-15-sm-olivkovaya-roscha","открыть")</f>
        <v>открыть</v>
      </c>
    </row>
    <row r="377" spans="1:9" x14ac:dyDescent="0.25">
      <c r="A377" t="s">
        <v>2487</v>
      </c>
      <c r="B377" t="s">
        <v>2488</v>
      </c>
      <c r="C377" t="s">
        <v>1751</v>
      </c>
      <c r="D377" s="8">
        <v>8</v>
      </c>
      <c r="E377" s="9">
        <v>549.78</v>
      </c>
      <c r="F377" s="8">
        <v>110</v>
      </c>
      <c r="G377" s="10"/>
      <c r="H377" s="9" t="str">
        <f>IF(G377="","",E377*G377)</f>
        <v/>
      </c>
      <c r="I377" s="11" t="str">
        <f>HYPERLINK("https://optomposuda.ru/product/salatnik-glubokiy-15-sm-olivkovaya-roscha-zelenyy","открыть")</f>
        <v>открыть</v>
      </c>
    </row>
    <row r="378" spans="1:9" x14ac:dyDescent="0.25">
      <c r="A378" t="s">
        <v>2489</v>
      </c>
      <c r="B378" t="s">
        <v>2490</v>
      </c>
      <c r="C378" t="s">
        <v>1751</v>
      </c>
      <c r="D378" s="8">
        <v>1</v>
      </c>
      <c r="E378" s="9">
        <v>616.42</v>
      </c>
      <c r="F378" s="8">
        <v>51</v>
      </c>
      <c r="G378" s="10"/>
      <c r="H378" s="9" t="str">
        <f>IF(G378="","",E378*G378)</f>
        <v/>
      </c>
      <c r="I378" s="11" t="str">
        <f>HYPERLINK("https://optomposuda.ru/product/salatnik-kruglyy-siyanie-nochi-15-sm-kor-8-sht-16408","открыть")</f>
        <v>открыть</v>
      </c>
    </row>
    <row r="379" spans="1:9" x14ac:dyDescent="0.25">
      <c r="A379" t="s">
        <v>2491</v>
      </c>
      <c r="B379" t="s">
        <v>2492</v>
      </c>
      <c r="C379" t="s">
        <v>1751</v>
      </c>
      <c r="D379" s="8">
        <v>1</v>
      </c>
      <c r="E379" s="9">
        <v>237.58</v>
      </c>
      <c r="F379" s="8">
        <v>1</v>
      </c>
      <c r="G379" s="10"/>
      <c r="H379" s="9" t="str">
        <f>IF(G379="","",E379*G379)</f>
        <v/>
      </c>
      <c r="I379" s="11" t="str">
        <f>HYPERLINK("https://optomposuda.ru/product/salatnik-sredniy-gloriya-21-sm-siniy-art-15618-b","открыть")</f>
        <v>открыть</v>
      </c>
    </row>
    <row r="380" spans="1:9" x14ac:dyDescent="0.25">
      <c r="A380" t="s">
        <v>2493</v>
      </c>
      <c r="B380" t="s">
        <v>2494</v>
      </c>
      <c r="C380" t="s">
        <v>1751</v>
      </c>
      <c r="D380" s="8">
        <v>1</v>
      </c>
      <c r="E380" s="9">
        <v>646.83</v>
      </c>
      <c r="F380" s="8">
        <v>60</v>
      </c>
      <c r="G380" s="10"/>
      <c r="H380" s="9" t="str">
        <f>IF(G380="","",E380*G380)</f>
        <v/>
      </c>
      <c r="I380" s="11" t="str">
        <f>HYPERLINK("https://optomposuda.ru/product/srednyaya-tarelka-kamennyy-cvetok-28-cm-kor-6sht-17473","открыть")</f>
        <v>открыть</v>
      </c>
    </row>
    <row r="381" spans="1:9" x14ac:dyDescent="0.25">
      <c r="A381" t="s">
        <v>2495</v>
      </c>
      <c r="B381" t="s">
        <v>2496</v>
      </c>
      <c r="C381" t="s">
        <v>1751</v>
      </c>
      <c r="D381" s="8">
        <v>1</v>
      </c>
      <c r="E381" s="9">
        <v>964.47</v>
      </c>
      <c r="F381" s="8">
        <v>5</v>
      </c>
      <c r="G381" s="10"/>
      <c r="H381" s="9" t="str">
        <f>IF(G381="","",E381*G381)</f>
        <v/>
      </c>
      <c r="I381" s="11" t="str">
        <f>HYPERLINK("https://optomposuda.ru/product/stoyka-dvuhyarusnaya-akvamarin-21-28-sm-1sht-v-kor-art-19352-19668-2","открыть")</f>
        <v>открыть</v>
      </c>
    </row>
    <row r="382" spans="1:9" x14ac:dyDescent="0.25">
      <c r="A382" t="s">
        <v>2497</v>
      </c>
      <c r="B382" t="s">
        <v>2498</v>
      </c>
      <c r="C382" t="s">
        <v>1751</v>
      </c>
      <c r="D382" s="8">
        <v>4</v>
      </c>
      <c r="E382" s="9">
        <v>1405.22</v>
      </c>
      <c r="F382" s="8">
        <v>114</v>
      </c>
      <c r="G382" s="10"/>
      <c r="H382" s="9" t="str">
        <f>IF(G382="","",E382*G382)</f>
        <v/>
      </c>
      <c r="I382" s="11" t="str">
        <f>HYPERLINK("https://optomposuda.ru/product/stoyka-dvuhyarusnaya-barokko-blek-21-28sm-15768-69-1","открыть")</f>
        <v>открыть</v>
      </c>
    </row>
    <row r="383" spans="1:9" x14ac:dyDescent="0.25">
      <c r="A383" t="s">
        <v>2499</v>
      </c>
      <c r="B383" t="s">
        <v>2500</v>
      </c>
      <c r="C383" t="s">
        <v>1751</v>
      </c>
      <c r="D383" s="8">
        <v>4</v>
      </c>
      <c r="E383" s="9">
        <v>1405.22</v>
      </c>
      <c r="F383" s="8">
        <v>124</v>
      </c>
      <c r="G383" s="10"/>
      <c r="H383" s="9" t="str">
        <f>IF(G383="","",E383*G383)</f>
        <v/>
      </c>
      <c r="I383" s="11" t="str">
        <f>HYPERLINK("https://optomposuda.ru/product/stoyka-dvuhyarusnaya-barokko-gold-21-28sm-15768-69-2","открыть")</f>
        <v>открыть</v>
      </c>
    </row>
    <row r="384" spans="1:9" x14ac:dyDescent="0.25">
      <c r="A384" t="s">
        <v>2501</v>
      </c>
      <c r="B384" t="s">
        <v>2502</v>
      </c>
      <c r="C384" t="s">
        <v>1751</v>
      </c>
      <c r="D384" s="8">
        <v>4</v>
      </c>
      <c r="E384" s="9">
        <v>1314.5</v>
      </c>
      <c r="F384" s="8">
        <v>251</v>
      </c>
      <c r="G384" s="10"/>
      <c r="H384" s="9" t="str">
        <f>IF(G384="","",E384*G384)</f>
        <v/>
      </c>
      <c r="I384" s="11" t="str">
        <f>HYPERLINK("https://optomposuda.ru/product/stoyka-dvuhyarusnaya-burgundskaya-kuvshinka-21-28-sm","открыть")</f>
        <v>открыть</v>
      </c>
    </row>
    <row r="385" spans="1:9" x14ac:dyDescent="0.25">
      <c r="A385" t="s">
        <v>2503</v>
      </c>
      <c r="B385" t="s">
        <v>2504</v>
      </c>
      <c r="C385" t="s">
        <v>1751</v>
      </c>
      <c r="D385" s="8">
        <v>1</v>
      </c>
      <c r="E385" s="9">
        <v>1086.09</v>
      </c>
      <c r="F385" s="8">
        <v>76</v>
      </c>
      <c r="G385" s="10"/>
      <c r="H385" s="9" t="str">
        <f>IF(G385="","",E385*G385)</f>
        <v/>
      </c>
      <c r="I385" s="11" t="str">
        <f>HYPERLINK("https://optomposuda.ru/product/stoyka-dvuhyarusnaya-zhasmin-krasnyy-21-28-sm-kor-4sht-art-16297-16296-2","открыть")</f>
        <v>открыть</v>
      </c>
    </row>
    <row r="386" spans="1:9" x14ac:dyDescent="0.25">
      <c r="A386" t="s">
        <v>2505</v>
      </c>
      <c r="B386" t="s">
        <v>2506</v>
      </c>
      <c r="C386" t="s">
        <v>1751</v>
      </c>
      <c r="D386" s="8">
        <v>1</v>
      </c>
      <c r="E386" s="9">
        <v>1106.73</v>
      </c>
      <c r="F386" s="8">
        <v>207</v>
      </c>
      <c r="G386" s="10"/>
      <c r="H386" s="9" t="str">
        <f>IF(G386="","",E386*G386)</f>
        <v/>
      </c>
      <c r="I386" s="11" t="str">
        <f>HYPERLINK("https://optomposuda.ru/product/stoyka-dvuhyarusnaya-zhasmin-kremovaya-21-28-sm-kor-4sht-art-16297-16296-3","открыть")</f>
        <v>открыть</v>
      </c>
    </row>
    <row r="387" spans="1:9" x14ac:dyDescent="0.25">
      <c r="A387" t="s">
        <v>2507</v>
      </c>
      <c r="B387" t="s">
        <v>2508</v>
      </c>
      <c r="C387" t="s">
        <v>1751</v>
      </c>
      <c r="D387" s="8">
        <v>4</v>
      </c>
      <c r="E387" s="9">
        <v>938.86</v>
      </c>
      <c r="F387" s="8">
        <v>2</v>
      </c>
      <c r="G387" s="10"/>
      <c r="H387" s="9" t="str">
        <f>IF(G387="","",E387*G387)</f>
        <v/>
      </c>
      <c r="I387" s="11" t="str">
        <f>HYPERLINK("https://optomposuda.ru/product/stoyka-dvuhyarusnaya-zhemchug-21-28-sm","открыть")</f>
        <v>открыть</v>
      </c>
    </row>
    <row r="388" spans="1:9" x14ac:dyDescent="0.25">
      <c r="A388" t="s">
        <v>2509</v>
      </c>
      <c r="B388" t="s">
        <v>2510</v>
      </c>
      <c r="C388" t="s">
        <v>1751</v>
      </c>
      <c r="D388" s="8">
        <v>4</v>
      </c>
      <c r="E388" s="9">
        <v>1314.5</v>
      </c>
      <c r="F388" s="8">
        <v>212</v>
      </c>
      <c r="G388" s="10"/>
      <c r="H388" s="9" t="str">
        <f>IF(G388="","",E388*G388)</f>
        <v/>
      </c>
      <c r="I388" s="11" t="str">
        <f>HYPERLINK("https://optomposuda.ru/product/stoyka-dvuhyarusnaya-zolotaya-kuvshinka-21-28-sm","открыть")</f>
        <v>открыть</v>
      </c>
    </row>
    <row r="389" spans="1:9" x14ac:dyDescent="0.25">
      <c r="A389" t="s">
        <v>2511</v>
      </c>
      <c r="B389" t="s">
        <v>2512</v>
      </c>
      <c r="C389" t="s">
        <v>1751</v>
      </c>
      <c r="D389" s="8">
        <v>1</v>
      </c>
      <c r="E389" s="9">
        <v>1314.03</v>
      </c>
      <c r="F389" s="8">
        <v>209</v>
      </c>
      <c r="G389" s="10"/>
      <c r="H389" s="9" t="str">
        <f>IF(G389="","",E389*G389)</f>
        <v/>
      </c>
      <c r="I389" s="11" t="str">
        <f>HYPERLINK("https://optomposuda.ru/product/stoyka-dvuhyarusnaya-zolotaya-rossyp-21-28sm-kor-1sht-art-19130-19131-2","открыть")</f>
        <v>открыть</v>
      </c>
    </row>
    <row r="390" spans="1:9" x14ac:dyDescent="0.25">
      <c r="A390" t="s">
        <v>2513</v>
      </c>
      <c r="B390" t="s">
        <v>2514</v>
      </c>
      <c r="C390" t="s">
        <v>1751</v>
      </c>
      <c r="D390" s="8">
        <v>4</v>
      </c>
      <c r="E390" s="9">
        <v>1314.5</v>
      </c>
      <c r="F390" s="8">
        <v>499</v>
      </c>
      <c r="G390" s="10"/>
      <c r="H390" s="9" t="str">
        <f>IF(G390="","",E390*G390)</f>
        <v/>
      </c>
      <c r="I390" s="11" t="str">
        <f>HYPERLINK("https://optomposuda.ru/product/stoyka-dvuhyarusnaya-kuvshinka-indiana-21-28-sm","открыть")</f>
        <v>открыть</v>
      </c>
    </row>
    <row r="391" spans="1:9" x14ac:dyDescent="0.25">
      <c r="A391" t="s">
        <v>2515</v>
      </c>
      <c r="B391" t="s">
        <v>2516</v>
      </c>
      <c r="C391" t="s">
        <v>1751</v>
      </c>
      <c r="D391" s="8">
        <v>4</v>
      </c>
      <c r="E391" s="9">
        <v>1314.5</v>
      </c>
      <c r="F391" s="8">
        <v>200</v>
      </c>
      <c r="G391" s="10"/>
      <c r="H391" s="9" t="str">
        <f>IF(G391="","",E391*G391)</f>
        <v/>
      </c>
      <c r="I391" s="11" t="str">
        <f>HYPERLINK("https://optomposuda.ru/product/stoyka-dvuhyarusnaya-kuvshinka-nimfeya-21-28-sm","открыть")</f>
        <v>открыть</v>
      </c>
    </row>
    <row r="392" spans="1:9" x14ac:dyDescent="0.25">
      <c r="A392" t="s">
        <v>2517</v>
      </c>
      <c r="B392" t="s">
        <v>2518</v>
      </c>
      <c r="C392" t="s">
        <v>1751</v>
      </c>
      <c r="D392" s="8">
        <v>1</v>
      </c>
      <c r="E392" s="9">
        <v>1275.78</v>
      </c>
      <c r="F392" s="8">
        <v>245</v>
      </c>
      <c r="G392" s="10"/>
      <c r="H392" s="9" t="str">
        <f>IF(G392="","",E392*G392)</f>
        <v/>
      </c>
      <c r="I392" s="11" t="str">
        <f>HYPERLINK("https://optomposuda.ru/product/stoyka-dvuhyarusnaya-mercanie-nochi-21-28sm-kor-1sht-art-3-19130-19131","открыть")</f>
        <v>открыть</v>
      </c>
    </row>
    <row r="393" spans="1:9" x14ac:dyDescent="0.25">
      <c r="A393" t="s">
        <v>2519</v>
      </c>
      <c r="B393" t="s">
        <v>2520</v>
      </c>
      <c r="C393" t="s">
        <v>1751</v>
      </c>
      <c r="D393" s="8">
        <v>1</v>
      </c>
      <c r="E393" s="9">
        <v>906.86</v>
      </c>
      <c r="F393" s="8">
        <v>57</v>
      </c>
      <c r="G393" s="10"/>
      <c r="H393" s="9" t="str">
        <f>IF(G393="","",E393*G393)</f>
        <v/>
      </c>
      <c r="I393" s="11" t="str">
        <f>HYPERLINK("https://optomposuda.ru/product/stoyka-dvuhyarusnaya-opal-belyy-21-28-sm-1sht-v-kor-art-19352-19668-1","открыть")</f>
        <v>открыть</v>
      </c>
    </row>
    <row r="394" spans="1:9" x14ac:dyDescent="0.25">
      <c r="A394" t="s">
        <v>2521</v>
      </c>
      <c r="B394" t="s">
        <v>2522</v>
      </c>
      <c r="C394" t="s">
        <v>1751</v>
      </c>
      <c r="D394" s="8">
        <v>4</v>
      </c>
      <c r="E394" s="9">
        <v>1438.31</v>
      </c>
      <c r="F394" s="8">
        <v>191</v>
      </c>
      <c r="G394" s="10"/>
      <c r="H394" s="9" t="str">
        <f>IF(G394="","",E394*G394)</f>
        <v/>
      </c>
      <c r="I394" s="11" t="str">
        <f>HYPERLINK("https://optomposuda.ru/product/stoyka-dvuhyarusnaya-peysli-antracit-21-28sm-15792-93-1","открыть")</f>
        <v>открыть</v>
      </c>
    </row>
    <row r="395" spans="1:9" x14ac:dyDescent="0.25">
      <c r="A395" t="s">
        <v>2523</v>
      </c>
      <c r="B395" t="s">
        <v>2524</v>
      </c>
      <c r="C395" t="s">
        <v>1751</v>
      </c>
      <c r="D395" s="8">
        <v>4</v>
      </c>
      <c r="E395" s="9">
        <v>1141.52</v>
      </c>
      <c r="F395" s="8">
        <v>128</v>
      </c>
      <c r="G395" s="10"/>
      <c r="H395" s="9" t="str">
        <f>IF(G395="","",E395*G395)</f>
        <v/>
      </c>
      <c r="I395" s="11" t="str">
        <f>HYPERLINK("https://optomposuda.ru/product/stoyka-dvuhyarusnaya-peysli-zoloto-21-28sm-15792-93-2","открыть")</f>
        <v>открыть</v>
      </c>
    </row>
    <row r="396" spans="1:9" x14ac:dyDescent="0.25">
      <c r="A396" t="s">
        <v>2525</v>
      </c>
      <c r="B396" t="s">
        <v>2526</v>
      </c>
      <c r="C396" t="s">
        <v>1751</v>
      </c>
      <c r="D396" s="8">
        <v>1</v>
      </c>
      <c r="E396" s="9">
        <v>1086.09</v>
      </c>
      <c r="F396" s="8">
        <v>2</v>
      </c>
      <c r="G396" s="10"/>
      <c r="H396" s="9" t="str">
        <f>IF(G396="","",E396*G396)</f>
        <v/>
      </c>
      <c r="I396" s="11" t="str">
        <f>HYPERLINK("https://optomposuda.ru/product/stoyka-dvuhyarusnaya-plamya-hyurrem-21-28-sm-kor-1sht-art-17190-17169-2","открыть")</f>
        <v>открыть</v>
      </c>
    </row>
    <row r="397" spans="1:9" x14ac:dyDescent="0.25">
      <c r="A397" t="s">
        <v>2527</v>
      </c>
      <c r="B397" t="s">
        <v>2528</v>
      </c>
      <c r="C397" t="s">
        <v>1751</v>
      </c>
      <c r="D397" s="8">
        <v>4</v>
      </c>
      <c r="E397" s="9">
        <v>1155.48</v>
      </c>
      <c r="F397" s="8">
        <v>87</v>
      </c>
      <c r="G397" s="10"/>
      <c r="H397" s="9" t="str">
        <f>IF(G397="","",E397*G397)</f>
        <v/>
      </c>
      <c r="I397" s="11" t="str">
        <f>HYPERLINK("https://optomposuda.ru/product/stoyka-dvuhyarusnaya-rivera-bronza-21-28sm-15737-38-2","открыть")</f>
        <v>открыть</v>
      </c>
    </row>
    <row r="398" spans="1:9" x14ac:dyDescent="0.25">
      <c r="A398" t="s">
        <v>2529</v>
      </c>
      <c r="B398" t="s">
        <v>2530</v>
      </c>
      <c r="C398" t="s">
        <v>1751</v>
      </c>
      <c r="D398" s="8">
        <v>4</v>
      </c>
      <c r="E398" s="9">
        <v>1405.22</v>
      </c>
      <c r="F398" s="8">
        <v>80</v>
      </c>
      <c r="G398" s="10"/>
      <c r="H398" s="9" t="str">
        <f>IF(G398="","",E398*G398)</f>
        <v/>
      </c>
      <c r="I398" s="11" t="str">
        <f>HYPERLINK("https://optomposuda.ru/product/stoyka-dvuhyarusnaya-rivera-zhemchug-21-28sm-15737-38-1","открыть")</f>
        <v>открыть</v>
      </c>
    </row>
    <row r="399" spans="1:9" x14ac:dyDescent="0.25">
      <c r="A399" t="s">
        <v>2531</v>
      </c>
      <c r="B399" t="s">
        <v>2532</v>
      </c>
      <c r="C399" t="s">
        <v>1751</v>
      </c>
      <c r="D399" s="8">
        <v>1</v>
      </c>
      <c r="E399" s="9">
        <v>1314.03</v>
      </c>
      <c r="F399" s="8">
        <v>276</v>
      </c>
      <c r="G399" s="10"/>
      <c r="H399" s="9" t="str">
        <f>IF(G399="","",E399*G399)</f>
        <v/>
      </c>
      <c r="I399" s="11" t="str">
        <f>HYPERLINK("https://optomposuda.ru/product/stoyka-dvuhyarusnaya-severnaya-zvezda-21-28sm-kor-1sht-art-1-19130-19131","открыть")</f>
        <v>открыть</v>
      </c>
    </row>
    <row r="400" spans="1:9" x14ac:dyDescent="0.25">
      <c r="A400" t="s">
        <v>2533</v>
      </c>
      <c r="B400" t="s">
        <v>2534</v>
      </c>
      <c r="C400" t="s">
        <v>1751</v>
      </c>
      <c r="D400" s="8">
        <v>1</v>
      </c>
      <c r="E400" s="9">
        <v>1681.38</v>
      </c>
      <c r="F400" s="8">
        <v>72</v>
      </c>
      <c r="G400" s="10"/>
      <c r="H400" s="9" t="str">
        <f>IF(G400="","",E400*G400)</f>
        <v/>
      </c>
      <c r="I400" s="11" t="str">
        <f>HYPERLINK("https://optomposuda.ru/product/stoyka-dvuhyarusnaya-fialka-21-28-sm-serebro-kor-1sht-art-16297-16296-s","открыть")</f>
        <v>открыть</v>
      </c>
    </row>
    <row r="401" spans="1:9" x14ac:dyDescent="0.25">
      <c r="A401" t="s">
        <v>2535</v>
      </c>
      <c r="B401" t="s">
        <v>2536</v>
      </c>
      <c r="C401" t="s">
        <v>1751</v>
      </c>
      <c r="D401" s="8">
        <v>1</v>
      </c>
      <c r="E401" s="9">
        <v>1086.09</v>
      </c>
      <c r="F401" s="8">
        <v>67</v>
      </c>
      <c r="G401" s="10"/>
      <c r="H401" s="9" t="str">
        <f>IF(G401="","",E401*G401)</f>
        <v/>
      </c>
      <c r="I401" s="11" t="str">
        <f>HYPERLINK("https://optomposuda.ru/product/stoyka-dvuhyarusnaya-hyurrem-biryuza-21-28-sm-kor-1sht-art-17190-17169-1","открыть")</f>
        <v>открыть</v>
      </c>
    </row>
    <row r="402" spans="1:9" x14ac:dyDescent="0.25">
      <c r="A402" t="s">
        <v>2537</v>
      </c>
      <c r="B402" t="s">
        <v>2538</v>
      </c>
      <c r="C402" t="s">
        <v>1751</v>
      </c>
      <c r="D402" s="8">
        <v>1</v>
      </c>
      <c r="E402" s="9">
        <v>1086.09</v>
      </c>
      <c r="F402" s="8">
        <v>1</v>
      </c>
      <c r="G402" s="10"/>
      <c r="H402" s="9" t="str">
        <f>IF(G402="","",E402*G402)</f>
        <v/>
      </c>
      <c r="I402" s="11" t="str">
        <f>HYPERLINK("https://optomposuda.ru/product/stoyka-dvuhyarusnaya-hyurrem-izumrud-21-28-sm-kor-1sht-art-17190-17169-3","открыть")</f>
        <v>открыть</v>
      </c>
    </row>
    <row r="403" spans="1:9" x14ac:dyDescent="0.25">
      <c r="A403" t="s">
        <v>2539</v>
      </c>
      <c r="B403" t="s">
        <v>2540</v>
      </c>
      <c r="C403" t="s">
        <v>1751</v>
      </c>
      <c r="D403" s="8">
        <v>4</v>
      </c>
      <c r="E403" s="9">
        <v>1138.66</v>
      </c>
      <c r="F403" s="8">
        <v>48</v>
      </c>
      <c r="G403" s="10"/>
      <c r="H403" s="9" t="str">
        <f>IF(G403="","",E403*G403)</f>
        <v/>
      </c>
      <c r="I403" s="11" t="str">
        <f>HYPERLINK("https://optomposuda.ru/product/stoyka-dvuhyarusnaya-eleonora-bronza-21-28sm-15722-23-2","открыть")</f>
        <v>открыть</v>
      </c>
    </row>
    <row r="404" spans="1:9" x14ac:dyDescent="0.25">
      <c r="A404" t="s">
        <v>2541</v>
      </c>
      <c r="B404" t="s">
        <v>2542</v>
      </c>
      <c r="C404" t="s">
        <v>1751</v>
      </c>
      <c r="D404" s="8">
        <v>4</v>
      </c>
      <c r="E404" s="9">
        <v>1138.66</v>
      </c>
      <c r="F404" s="8">
        <v>49</v>
      </c>
      <c r="G404" s="10"/>
      <c r="H404" s="9" t="str">
        <f>IF(G404="","",E404*G404)</f>
        <v/>
      </c>
      <c r="I404" s="11" t="str">
        <f>HYPERLINK("https://optomposuda.ru/product/stoyka-dvuhyarusnaya-eleonora-patina-21-28sm-15722-23-1","открыть")</f>
        <v>открыть</v>
      </c>
    </row>
    <row r="405" spans="1:9" x14ac:dyDescent="0.25">
      <c r="A405" t="s">
        <v>2543</v>
      </c>
      <c r="B405" t="s">
        <v>2544</v>
      </c>
      <c r="C405" t="s">
        <v>1751</v>
      </c>
      <c r="D405" s="8">
        <v>4</v>
      </c>
      <c r="E405" s="9">
        <v>1346.76</v>
      </c>
      <c r="F405" s="8">
        <v>149</v>
      </c>
      <c r="G405" s="10"/>
      <c r="H405" s="9" t="str">
        <f>IF(G405="","",E405*G405)</f>
        <v/>
      </c>
      <c r="I405" s="11" t="str">
        <f>HYPERLINK("https://optomposuda.ru/product/stoyka-dvuhyarusnaya-galaxy-blue-21-30-sm-15139-40","открыть")</f>
        <v>открыть</v>
      </c>
    </row>
    <row r="406" spans="1:9" x14ac:dyDescent="0.25">
      <c r="A406" t="s">
        <v>2543</v>
      </c>
      <c r="B406" t="s">
        <v>2545</v>
      </c>
      <c r="C406" t="s">
        <v>1751</v>
      </c>
      <c r="D406" s="8">
        <v>4</v>
      </c>
      <c r="E406" s="9">
        <v>1346.76</v>
      </c>
      <c r="F406" s="8">
        <v>207</v>
      </c>
      <c r="G406" s="10"/>
      <c r="H406" s="9" t="str">
        <f>IF(G406="","",E406*G406)</f>
        <v/>
      </c>
      <c r="I406" s="11" t="str">
        <f>HYPERLINK("https://optomposuda.ru/product/stoyka-dvuhyarusnaya-galaxy-brown-21-30-sm-15139-40","открыть")</f>
        <v>открыть</v>
      </c>
    </row>
    <row r="407" spans="1:9" x14ac:dyDescent="0.25">
      <c r="A407" t="s">
        <v>2546</v>
      </c>
      <c r="B407" t="s">
        <v>2547</v>
      </c>
      <c r="C407" t="s">
        <v>1751</v>
      </c>
      <c r="D407" s="8">
        <v>4</v>
      </c>
      <c r="E407" s="9">
        <v>1438.31</v>
      </c>
      <c r="F407" s="8">
        <v>111</v>
      </c>
      <c r="G407" s="10"/>
      <c r="H407" s="9" t="str">
        <f>IF(G407="","",E407*G407)</f>
        <v/>
      </c>
      <c r="I407" s="11" t="str">
        <f>HYPERLINK("https://optomposuda.ru/product/stoyka-dvuhyarusnaya-inspiration-green-21-28-cm-16467-68-1","открыть")</f>
        <v>открыть</v>
      </c>
    </row>
    <row r="408" spans="1:9" x14ac:dyDescent="0.25">
      <c r="A408" t="s">
        <v>2507</v>
      </c>
      <c r="B408" t="s">
        <v>2548</v>
      </c>
      <c r="C408" t="s">
        <v>1751</v>
      </c>
      <c r="D408" s="8">
        <v>4</v>
      </c>
      <c r="E408" s="9">
        <v>1438.31</v>
      </c>
      <c r="F408" s="8">
        <v>181</v>
      </c>
      <c r="G408" s="10"/>
      <c r="H408" s="9" t="str">
        <f>IF(G408="","",E408*G408)</f>
        <v/>
      </c>
      <c r="I408" s="11" t="str">
        <f>HYPERLINK("https://optomposuda.ru/product/stoyka-dvuhyarusnaya-inspiration-21-28-cm-16467-68","открыть")</f>
        <v>открыть</v>
      </c>
    </row>
    <row r="409" spans="1:9" x14ac:dyDescent="0.25">
      <c r="A409" t="s">
        <v>2549</v>
      </c>
      <c r="B409" t="s">
        <v>2550</v>
      </c>
      <c r="C409" t="s">
        <v>1751</v>
      </c>
      <c r="D409" s="8">
        <v>8</v>
      </c>
      <c r="E409" s="9">
        <v>287.56</v>
      </c>
      <c r="F409" s="8">
        <v>265</v>
      </c>
      <c r="G409" s="10"/>
      <c r="H409" s="9" t="str">
        <f>IF(G409="","",E409*G409)</f>
        <v/>
      </c>
      <c r="I409" s="11" t="str">
        <f>HYPERLINK("https://optomposuda.ru/product/tarelka-ayvori-21-sm","открыть")</f>
        <v>открыть</v>
      </c>
    </row>
    <row r="410" spans="1:9" x14ac:dyDescent="0.25">
      <c r="A410" t="s">
        <v>2551</v>
      </c>
      <c r="B410" t="s">
        <v>2552</v>
      </c>
      <c r="C410" t="s">
        <v>1751</v>
      </c>
      <c r="D410" s="8">
        <v>6</v>
      </c>
      <c r="E410" s="9">
        <v>524.16</v>
      </c>
      <c r="F410" s="8">
        <v>294</v>
      </c>
      <c r="G410" s="10"/>
      <c r="H410" s="9" t="str">
        <f>IF(G410="","",E410*G410)</f>
        <v/>
      </c>
      <c r="I410" s="11" t="str">
        <f>HYPERLINK("https://optomposuda.ru/product/tarelka-ayvori-28-sm","открыть")</f>
        <v>открыть</v>
      </c>
    </row>
    <row r="411" spans="1:9" x14ac:dyDescent="0.25">
      <c r="A411" t="s">
        <v>2553</v>
      </c>
      <c r="B411" t="s">
        <v>2554</v>
      </c>
      <c r="C411" t="s">
        <v>1751</v>
      </c>
      <c r="D411" s="8">
        <v>6</v>
      </c>
      <c r="E411" s="9">
        <v>757.11</v>
      </c>
      <c r="F411" s="8">
        <v>356</v>
      </c>
      <c r="G411" s="10"/>
      <c r="H411" s="9" t="str">
        <f>IF(G411="","",E411*G411)</f>
        <v/>
      </c>
      <c r="I411" s="11" t="str">
        <f>HYPERLINK("https://optomposuda.ru/product/tarelka-ayvori-32-sm","открыть")</f>
        <v>открыть</v>
      </c>
    </row>
    <row r="412" spans="1:9" x14ac:dyDescent="0.25">
      <c r="A412" t="s">
        <v>2555</v>
      </c>
      <c r="B412" t="s">
        <v>2556</v>
      </c>
      <c r="C412" t="s">
        <v>1751</v>
      </c>
      <c r="D412" s="8">
        <v>8</v>
      </c>
      <c r="E412" s="9">
        <v>286.04</v>
      </c>
      <c r="F412" s="8">
        <v>38</v>
      </c>
      <c r="G412" s="10"/>
      <c r="H412" s="9" t="str">
        <f>IF(G412="","",E412*G412)</f>
        <v/>
      </c>
      <c r="I412" s="11" t="str">
        <f>HYPERLINK("https://optomposuda.ru/product/tarelka-akvamarin-21-sm","открыть")</f>
        <v>открыть</v>
      </c>
    </row>
    <row r="413" spans="1:9" x14ac:dyDescent="0.25">
      <c r="A413" t="s">
        <v>2557</v>
      </c>
      <c r="B413" t="s">
        <v>2558</v>
      </c>
      <c r="C413" t="s">
        <v>1751</v>
      </c>
      <c r="D413" s="8">
        <v>6</v>
      </c>
      <c r="E413" s="9">
        <v>461.85</v>
      </c>
      <c r="F413" s="8">
        <v>133</v>
      </c>
      <c r="G413" s="10"/>
      <c r="H413" s="9" t="str">
        <f>IF(G413="","",E413*G413)</f>
        <v/>
      </c>
      <c r="I413" s="11" t="str">
        <f>HYPERLINK("https://optomposuda.ru/product/tarelka-akvamarin-28-sm","открыть")</f>
        <v>открыть</v>
      </c>
    </row>
    <row r="414" spans="1:9" x14ac:dyDescent="0.25">
      <c r="A414" t="s">
        <v>2559</v>
      </c>
      <c r="B414" t="s">
        <v>2560</v>
      </c>
      <c r="C414" t="s">
        <v>1751</v>
      </c>
      <c r="D414" s="8">
        <v>6</v>
      </c>
      <c r="E414" s="9">
        <v>527.05</v>
      </c>
      <c r="F414" s="8">
        <v>109</v>
      </c>
      <c r="G414" s="10"/>
      <c r="H414" s="9" t="str">
        <f>IF(G414="","",E414*G414)</f>
        <v/>
      </c>
      <c r="I414" s="11" t="str">
        <f>HYPERLINK("https://optomposuda.ru/product/tarelka-akvamarin-32-sm","открыть")</f>
        <v>открыть</v>
      </c>
    </row>
    <row r="415" spans="1:9" x14ac:dyDescent="0.25">
      <c r="A415" t="s">
        <v>2561</v>
      </c>
      <c r="B415" t="s">
        <v>2562</v>
      </c>
      <c r="C415" t="s">
        <v>1751</v>
      </c>
      <c r="D415" s="8">
        <v>8</v>
      </c>
      <c r="E415" s="9">
        <v>404.42</v>
      </c>
      <c r="F415" s="8">
        <v>142</v>
      </c>
      <c r="G415" s="10"/>
      <c r="H415" s="9" t="str">
        <f>IF(G415="","",E415*G415)</f>
        <v/>
      </c>
      <c r="I415" s="11" t="str">
        <f>HYPERLINK("https://optomposuda.ru/product/tarelka-antichnaya-roza-21-sm-zoloto-17908-g","открыть")</f>
        <v>открыть</v>
      </c>
    </row>
    <row r="416" spans="1:9" x14ac:dyDescent="0.25">
      <c r="A416" t="s">
        <v>2563</v>
      </c>
      <c r="B416" t="s">
        <v>2564</v>
      </c>
      <c r="C416" t="s">
        <v>1751</v>
      </c>
      <c r="D416" s="8">
        <v>8</v>
      </c>
      <c r="E416" s="9">
        <v>404.42</v>
      </c>
      <c r="F416" s="8">
        <v>129</v>
      </c>
      <c r="G416" s="10"/>
      <c r="H416" s="9" t="str">
        <f>IF(G416="","",E416*G416)</f>
        <v/>
      </c>
      <c r="I416" s="11" t="str">
        <f>HYPERLINK("https://optomposuda.ru/product/tarelka-antichnaya-roza-21-sm-platina-17908-r","открыть")</f>
        <v>открыть</v>
      </c>
    </row>
    <row r="417" spans="1:9" x14ac:dyDescent="0.25">
      <c r="A417" t="s">
        <v>2565</v>
      </c>
      <c r="B417" t="s">
        <v>2566</v>
      </c>
      <c r="C417" t="s">
        <v>1751</v>
      </c>
      <c r="D417" s="8">
        <v>6</v>
      </c>
      <c r="E417" s="9">
        <v>837.85</v>
      </c>
      <c r="F417" s="8">
        <v>211</v>
      </c>
      <c r="G417" s="10"/>
      <c r="H417" s="9" t="str">
        <f>IF(G417="","",E417*G417)</f>
        <v/>
      </c>
      <c r="I417" s="11" t="str">
        <f>HYPERLINK("https://optomposuda.ru/product/tarelka-antichnaya-roza-28-sm-zoloto-17909-g","открыть")</f>
        <v>открыть</v>
      </c>
    </row>
    <row r="418" spans="1:9" x14ac:dyDescent="0.25">
      <c r="A418" t="s">
        <v>2567</v>
      </c>
      <c r="B418" t="s">
        <v>2568</v>
      </c>
      <c r="C418" t="s">
        <v>1751</v>
      </c>
      <c r="D418" s="8">
        <v>6</v>
      </c>
      <c r="E418" s="9">
        <v>772.25</v>
      </c>
      <c r="F418" s="8">
        <v>259</v>
      </c>
      <c r="G418" s="10"/>
      <c r="H418" s="9" t="str">
        <f>IF(G418="","",E418*G418)</f>
        <v/>
      </c>
      <c r="I418" s="11" t="str">
        <f>HYPERLINK("https://optomposuda.ru/product/tarelka-antichnaya-roza-28-sm-platina-17909-r","открыть")</f>
        <v>открыть</v>
      </c>
    </row>
    <row r="419" spans="1:9" x14ac:dyDescent="0.25">
      <c r="A419" t="s">
        <v>2569</v>
      </c>
      <c r="B419" t="s">
        <v>2570</v>
      </c>
      <c r="C419" t="s">
        <v>1751</v>
      </c>
      <c r="D419" s="8">
        <v>6</v>
      </c>
      <c r="E419" s="9">
        <v>989.79</v>
      </c>
      <c r="F419" s="8">
        <v>198</v>
      </c>
      <c r="G419" s="10"/>
      <c r="H419" s="9" t="str">
        <f>IF(G419="","",E419*G419)</f>
        <v/>
      </c>
      <c r="I419" s="11" t="str">
        <f>HYPERLINK("https://optomposuda.ru/product/tarelka-antichnaya-roza-32-sm-zoloto-17910-g","открыть")</f>
        <v>открыть</v>
      </c>
    </row>
    <row r="420" spans="1:9" x14ac:dyDescent="0.25">
      <c r="A420" t="s">
        <v>2571</v>
      </c>
      <c r="B420" t="s">
        <v>2572</v>
      </c>
      <c r="C420" t="s">
        <v>1751</v>
      </c>
      <c r="D420" s="8">
        <v>6</v>
      </c>
      <c r="E420" s="9">
        <v>1110.11</v>
      </c>
      <c r="F420" s="8">
        <v>267</v>
      </c>
      <c r="G420" s="10"/>
      <c r="H420" s="9" t="str">
        <f>IF(G420="","",E420*G420)</f>
        <v/>
      </c>
      <c r="I420" s="11" t="str">
        <f>HYPERLINK("https://optomposuda.ru/product/tarelka-antichnaya-roza-32-sm-platina-17910-r","открыть")</f>
        <v>открыть</v>
      </c>
    </row>
    <row r="421" spans="1:9" x14ac:dyDescent="0.25">
      <c r="A421" t="s">
        <v>2573</v>
      </c>
      <c r="B421" t="s">
        <v>2574</v>
      </c>
      <c r="C421" t="s">
        <v>1751</v>
      </c>
      <c r="D421" s="8">
        <v>8</v>
      </c>
      <c r="E421" s="9">
        <v>402.84</v>
      </c>
      <c r="F421" s="8">
        <v>128</v>
      </c>
      <c r="G421" s="10"/>
      <c r="H421" s="9" t="str">
        <f>IF(G421="","",E421*G421)</f>
        <v/>
      </c>
      <c r="I421" s="11" t="str">
        <f>HYPERLINK("https://optomposuda.ru/product/tarelka-aura-21-sm-beloe-serebro","открыть")</f>
        <v>открыть</v>
      </c>
    </row>
    <row r="422" spans="1:9" x14ac:dyDescent="0.25">
      <c r="A422" t="s">
        <v>2575</v>
      </c>
      <c r="B422" t="s">
        <v>2576</v>
      </c>
      <c r="C422" t="s">
        <v>1751</v>
      </c>
      <c r="D422" s="8">
        <v>8</v>
      </c>
      <c r="E422" s="9">
        <v>402.84</v>
      </c>
      <c r="F422" s="8">
        <v>152</v>
      </c>
      <c r="G422" s="10"/>
      <c r="H422" s="9" t="str">
        <f>IF(G422="","",E422*G422)</f>
        <v/>
      </c>
      <c r="I422" s="11" t="str">
        <f>HYPERLINK("https://optomposuda.ru/product/tarelka-aura-21-sm-goluboe-serebro","открыть")</f>
        <v>открыть</v>
      </c>
    </row>
    <row r="423" spans="1:9" x14ac:dyDescent="0.25">
      <c r="A423" t="s">
        <v>2577</v>
      </c>
      <c r="B423" t="s">
        <v>2578</v>
      </c>
      <c r="C423" t="s">
        <v>1751</v>
      </c>
      <c r="D423" s="8">
        <v>6</v>
      </c>
      <c r="E423" s="9">
        <v>723.69</v>
      </c>
      <c r="F423" s="8">
        <v>163</v>
      </c>
      <c r="G423" s="10"/>
      <c r="H423" s="9" t="str">
        <f>IF(G423="","",E423*G423)</f>
        <v/>
      </c>
      <c r="I423" s="11" t="str">
        <f>HYPERLINK("https://optomposuda.ru/product/tarelka-aura-28-sm-beloe-serebro","открыть")</f>
        <v>открыть</v>
      </c>
    </row>
    <row r="424" spans="1:9" x14ac:dyDescent="0.25">
      <c r="A424" t="s">
        <v>2579</v>
      </c>
      <c r="B424" t="s">
        <v>2580</v>
      </c>
      <c r="C424" t="s">
        <v>1751</v>
      </c>
      <c r="D424" s="8">
        <v>6</v>
      </c>
      <c r="E424" s="9">
        <v>723.69</v>
      </c>
      <c r="F424" s="8">
        <v>171</v>
      </c>
      <c r="G424" s="10"/>
      <c r="H424" s="9" t="str">
        <f>IF(G424="","",E424*G424)</f>
        <v/>
      </c>
      <c r="I424" s="11" t="str">
        <f>HYPERLINK("https://optomposuda.ru/product/tarelka-aura-28-sm-goluboe-serebro","открыть")</f>
        <v>открыть</v>
      </c>
    </row>
    <row r="425" spans="1:9" x14ac:dyDescent="0.25">
      <c r="A425" t="s">
        <v>2581</v>
      </c>
      <c r="B425" t="s">
        <v>2582</v>
      </c>
      <c r="C425" t="s">
        <v>1751</v>
      </c>
      <c r="D425" s="8">
        <v>6</v>
      </c>
      <c r="E425" s="9">
        <v>1069.5</v>
      </c>
      <c r="F425" s="8">
        <v>114</v>
      </c>
      <c r="G425" s="10"/>
      <c r="H425" s="9" t="str">
        <f>IF(G425="","",E425*G425)</f>
        <v/>
      </c>
      <c r="I425" s="11" t="str">
        <f>HYPERLINK("https://optomposuda.ru/product/tarelka-aura-32-sm-beloe-serebro","открыть")</f>
        <v>открыть</v>
      </c>
    </row>
    <row r="426" spans="1:9" x14ac:dyDescent="0.25">
      <c r="A426" t="s">
        <v>2583</v>
      </c>
      <c r="B426" t="s">
        <v>2584</v>
      </c>
      <c r="C426" t="s">
        <v>1751</v>
      </c>
      <c r="D426" s="8">
        <v>6</v>
      </c>
      <c r="E426" s="9">
        <v>1069.5</v>
      </c>
      <c r="F426" s="8">
        <v>135</v>
      </c>
      <c r="G426" s="10"/>
      <c r="H426" s="9" t="str">
        <f>IF(G426="","",E426*G426)</f>
        <v/>
      </c>
      <c r="I426" s="11" t="str">
        <f>HYPERLINK("https://optomposuda.ru/product/tarelka-aura-32-sm-goluboe-serebro","открыть")</f>
        <v>открыть</v>
      </c>
    </row>
    <row r="427" spans="1:9" x14ac:dyDescent="0.25">
      <c r="A427" t="s">
        <v>2585</v>
      </c>
      <c r="B427" t="s">
        <v>2586</v>
      </c>
      <c r="C427" t="s">
        <v>1751</v>
      </c>
      <c r="D427" s="8">
        <v>1</v>
      </c>
      <c r="E427" s="9">
        <v>293.91</v>
      </c>
      <c r="F427" s="8">
        <v>2</v>
      </c>
      <c r="G427" s="10"/>
      <c r="H427" s="9" t="str">
        <f>IF(G427="","",E427*G427)</f>
        <v/>
      </c>
      <c r="I427" s="11" t="str">
        <f>HYPERLINK("https://optomposuda.ru/product/tarelka-babochka-21sm-17422","открыть")</f>
        <v>открыть</v>
      </c>
    </row>
    <row r="428" spans="1:9" x14ac:dyDescent="0.25">
      <c r="A428" t="s">
        <v>2587</v>
      </c>
      <c r="B428" t="s">
        <v>2588</v>
      </c>
      <c r="C428" t="s">
        <v>1751</v>
      </c>
      <c r="D428" s="8">
        <v>8</v>
      </c>
      <c r="E428" s="9">
        <v>344.09</v>
      </c>
      <c r="F428" s="8">
        <v>241</v>
      </c>
      <c r="G428" s="10"/>
      <c r="H428" s="9" t="str">
        <f>IF(G428="","",E428*G428)</f>
        <v/>
      </c>
      <c r="I428" s="11" t="str">
        <f>HYPERLINK("https://optomposuda.ru/product/tarelka-barokko-blek-21sm-15768-1","открыть")</f>
        <v>открыть</v>
      </c>
    </row>
    <row r="429" spans="1:9" x14ac:dyDescent="0.25">
      <c r="A429" t="s">
        <v>2589</v>
      </c>
      <c r="B429" t="s">
        <v>2590</v>
      </c>
      <c r="C429" t="s">
        <v>1751</v>
      </c>
      <c r="D429" s="8">
        <v>6</v>
      </c>
      <c r="E429" s="9">
        <v>606.04</v>
      </c>
      <c r="F429" s="8">
        <v>203</v>
      </c>
      <c r="G429" s="10"/>
      <c r="H429" s="9" t="str">
        <f>IF(G429="","",E429*G429)</f>
        <v/>
      </c>
      <c r="I429" s="11" t="str">
        <f>HYPERLINK("https://optomposuda.ru/product/tarelka-barokko-blek-28sm-15769-1","открыть")</f>
        <v>открыть</v>
      </c>
    </row>
    <row r="430" spans="1:9" x14ac:dyDescent="0.25">
      <c r="A430" t="s">
        <v>2591</v>
      </c>
      <c r="B430" t="s">
        <v>2592</v>
      </c>
      <c r="C430" t="s">
        <v>1751</v>
      </c>
      <c r="D430" s="8">
        <v>6</v>
      </c>
      <c r="E430" s="9">
        <v>804.21</v>
      </c>
      <c r="F430" s="8">
        <v>216</v>
      </c>
      <c r="G430" s="10"/>
      <c r="H430" s="9" t="str">
        <f>IF(G430="","",E430*G430)</f>
        <v/>
      </c>
      <c r="I430" s="11" t="str">
        <f>HYPERLINK("https://optomposuda.ru/product/tarelka-barokko-blek-32sm-15770-1","открыть")</f>
        <v>открыть</v>
      </c>
    </row>
    <row r="431" spans="1:9" x14ac:dyDescent="0.25">
      <c r="A431" t="s">
        <v>2593</v>
      </c>
      <c r="B431" t="s">
        <v>2594</v>
      </c>
      <c r="C431" t="s">
        <v>1751</v>
      </c>
      <c r="D431" s="8">
        <v>8</v>
      </c>
      <c r="E431" s="9">
        <v>344.09</v>
      </c>
      <c r="F431" s="8">
        <v>305</v>
      </c>
      <c r="G431" s="10"/>
      <c r="H431" s="9" t="str">
        <f>IF(G431="","",E431*G431)</f>
        <v/>
      </c>
      <c r="I431" s="11" t="str">
        <f>HYPERLINK("https://optomposuda.ru/product/tarelka-barokko-gold-21sm-15768-2","открыть")</f>
        <v>открыть</v>
      </c>
    </row>
    <row r="432" spans="1:9" x14ac:dyDescent="0.25">
      <c r="A432" t="s">
        <v>2595</v>
      </c>
      <c r="B432" t="s">
        <v>2596</v>
      </c>
      <c r="C432" t="s">
        <v>1751</v>
      </c>
      <c r="D432" s="8">
        <v>6</v>
      </c>
      <c r="E432" s="9">
        <v>606.04</v>
      </c>
      <c r="F432" s="8">
        <v>208</v>
      </c>
      <c r="G432" s="10"/>
      <c r="H432" s="9" t="str">
        <f>IF(G432="","",E432*G432)</f>
        <v/>
      </c>
      <c r="I432" s="11" t="str">
        <f>HYPERLINK("https://optomposuda.ru/product/tarelka-barokko-gold-28sm-15769-2","открыть")</f>
        <v>открыть</v>
      </c>
    </row>
    <row r="433" spans="1:9" x14ac:dyDescent="0.25">
      <c r="A433" t="s">
        <v>2597</v>
      </c>
      <c r="B433" t="s">
        <v>2598</v>
      </c>
      <c r="C433" t="s">
        <v>1751</v>
      </c>
      <c r="D433" s="8">
        <v>6</v>
      </c>
      <c r="E433" s="9">
        <v>881.31</v>
      </c>
      <c r="F433" s="8">
        <v>208</v>
      </c>
      <c r="G433" s="10"/>
      <c r="H433" s="9" t="str">
        <f>IF(G433="","",E433*G433)</f>
        <v/>
      </c>
      <c r="I433" s="11" t="str">
        <f>HYPERLINK("https://optomposuda.ru/product/tarelka-barokko-gold-32sm-15770-2","открыть")</f>
        <v>открыть</v>
      </c>
    </row>
    <row r="434" spans="1:9" x14ac:dyDescent="0.25">
      <c r="A434" t="s">
        <v>2599</v>
      </c>
      <c r="B434" t="s">
        <v>2600</v>
      </c>
      <c r="C434" t="s">
        <v>1751</v>
      </c>
      <c r="D434" s="8">
        <v>8</v>
      </c>
      <c r="E434" s="9">
        <v>320.81</v>
      </c>
      <c r="F434" s="8">
        <v>1</v>
      </c>
      <c r="G434" s="10"/>
      <c r="H434" s="9" t="str">
        <f>IF(G434="","",E434*G434)</f>
        <v/>
      </c>
      <c r="I434" s="11" t="str">
        <f>HYPERLINK("https://optomposuda.ru/product/tarelka-belyy-cvetok-21sm-339-191","открыть")</f>
        <v>открыть</v>
      </c>
    </row>
    <row r="435" spans="1:9" x14ac:dyDescent="0.25">
      <c r="A435" t="s">
        <v>2601</v>
      </c>
      <c r="B435" t="s">
        <v>2602</v>
      </c>
      <c r="C435" t="s">
        <v>1751</v>
      </c>
      <c r="D435" s="8">
        <v>6</v>
      </c>
      <c r="E435" s="9">
        <v>223.18</v>
      </c>
      <c r="F435" s="8">
        <v>21</v>
      </c>
      <c r="G435" s="10"/>
      <c r="H435" s="9" t="str">
        <f>IF(G435="","",E435*G435)</f>
        <v/>
      </c>
      <c r="I435" s="11" t="str">
        <f>HYPERLINK("https://optomposuda.ru/product/tarelka-burgundskaya-kuvshinka-21-sm","открыть")</f>
        <v>открыть</v>
      </c>
    </row>
    <row r="436" spans="1:9" x14ac:dyDescent="0.25">
      <c r="A436" t="s">
        <v>2603</v>
      </c>
      <c r="B436" t="s">
        <v>2604</v>
      </c>
      <c r="C436" t="s">
        <v>1751</v>
      </c>
      <c r="D436" s="8">
        <v>6</v>
      </c>
      <c r="E436" s="9">
        <v>561.67</v>
      </c>
      <c r="F436" s="8">
        <v>1</v>
      </c>
      <c r="G436" s="10"/>
      <c r="H436" s="9" t="str">
        <f>IF(G436="","",E436*G436)</f>
        <v/>
      </c>
      <c r="I436" s="11" t="str">
        <f>HYPERLINK("https://optomposuda.ru/product/tarelka-burgundskaya-kuvshinka-28-sm","открыть")</f>
        <v>открыть</v>
      </c>
    </row>
    <row r="437" spans="1:9" x14ac:dyDescent="0.25">
      <c r="A437" t="s">
        <v>2605</v>
      </c>
      <c r="B437" t="s">
        <v>2606</v>
      </c>
      <c r="C437" t="s">
        <v>1751</v>
      </c>
      <c r="D437" s="8">
        <v>6</v>
      </c>
      <c r="E437" s="9">
        <v>455.97</v>
      </c>
      <c r="F437" s="8">
        <v>185</v>
      </c>
      <c r="G437" s="10"/>
      <c r="H437" s="9" t="str">
        <f>IF(G437="","",E437*G437)</f>
        <v/>
      </c>
      <c r="I437" s="11" t="str">
        <f>HYPERLINK("https://optomposuda.ru/product/tarelka-burgundskaya-kuvshinka-32-sm","открыть")</f>
        <v>открыть</v>
      </c>
    </row>
    <row r="438" spans="1:9" x14ac:dyDescent="0.25">
      <c r="A438" t="s">
        <v>2607</v>
      </c>
      <c r="B438" t="s">
        <v>2608</v>
      </c>
      <c r="C438" t="s">
        <v>1751</v>
      </c>
      <c r="D438" s="8">
        <v>1</v>
      </c>
      <c r="E438" s="9">
        <v>457.59</v>
      </c>
      <c r="F438" s="8">
        <v>2</v>
      </c>
      <c r="G438" s="10"/>
      <c r="H438" s="9" t="str">
        <f>IF(G438="","",E438*G438)</f>
        <v/>
      </c>
      <c r="I438" s="11" t="str">
        <f>HYPERLINK("https://optomposuda.ru/product/tarelka-varezhka-santy-23-sm-art-15092-v","открыть")</f>
        <v>открыть</v>
      </c>
    </row>
    <row r="439" spans="1:9" x14ac:dyDescent="0.25">
      <c r="A439" t="s">
        <v>2609</v>
      </c>
      <c r="B439" t="s">
        <v>2610</v>
      </c>
      <c r="C439" t="s">
        <v>1751</v>
      </c>
      <c r="D439" s="8">
        <v>6</v>
      </c>
      <c r="E439" s="9">
        <v>625.73</v>
      </c>
      <c r="F439" s="8">
        <v>68</v>
      </c>
      <c r="G439" s="10"/>
      <c r="H439" s="9" t="str">
        <f>IF(G439="","",E439*G439)</f>
        <v/>
      </c>
      <c r="I439" s="11" t="str">
        <f>HYPERLINK("https://optomposuda.ru/product/tarelka-vesenniy-lug-28sm-15566","открыть")</f>
        <v>открыть</v>
      </c>
    </row>
    <row r="440" spans="1:9" x14ac:dyDescent="0.25">
      <c r="A440" t="s">
        <v>2611</v>
      </c>
      <c r="B440" t="s">
        <v>2612</v>
      </c>
      <c r="C440" t="s">
        <v>1751</v>
      </c>
      <c r="D440" s="8">
        <v>1</v>
      </c>
      <c r="E440" s="9">
        <v>195.81</v>
      </c>
      <c r="F440" s="8">
        <v>1</v>
      </c>
      <c r="G440" s="10"/>
      <c r="H440" s="9" t="str">
        <f>IF(G440="","",E440*G440)</f>
        <v/>
      </c>
      <c r="I440" s="11" t="str">
        <f>HYPERLINK("https://optomposuda.ru/product/tarelka-vintazh-21sm-bez-upakovki-kor-8sht-16554","открыть")</f>
        <v>открыть</v>
      </c>
    </row>
    <row r="441" spans="1:9" x14ac:dyDescent="0.25">
      <c r="A441" t="s">
        <v>2613</v>
      </c>
      <c r="B441" t="s">
        <v>2614</v>
      </c>
      <c r="C441" t="s">
        <v>1751</v>
      </c>
      <c r="D441" s="8">
        <v>1</v>
      </c>
      <c r="E441" s="9">
        <v>326.35</v>
      </c>
      <c r="F441" s="8">
        <v>4</v>
      </c>
      <c r="G441" s="10"/>
      <c r="H441" s="9" t="str">
        <f>IF(G441="","",E441*G441)</f>
        <v/>
      </c>
      <c r="I441" s="11" t="str">
        <f>HYPERLINK("https://optomposuda.ru/product/tarelka-vintazh-28sm-bez-upakovki-kor-6sht-16555","открыть")</f>
        <v>открыть</v>
      </c>
    </row>
    <row r="442" spans="1:9" x14ac:dyDescent="0.25">
      <c r="A442" t="s">
        <v>2615</v>
      </c>
      <c r="B442" t="s">
        <v>2616</v>
      </c>
      <c r="C442" t="s">
        <v>1751</v>
      </c>
      <c r="D442" s="8">
        <v>1</v>
      </c>
      <c r="E442" s="9">
        <v>407.93</v>
      </c>
      <c r="F442" s="8">
        <v>4</v>
      </c>
      <c r="G442" s="10"/>
      <c r="H442" s="9" t="str">
        <f>IF(G442="","",E442*G442)</f>
        <v/>
      </c>
      <c r="I442" s="11" t="str">
        <f>HYPERLINK("https://optomposuda.ru/product/tarelka-vintazh-32sm-bez-upakovki-kor-6sht-16556","открыть")</f>
        <v>открыть</v>
      </c>
    </row>
    <row r="443" spans="1:9" x14ac:dyDescent="0.25">
      <c r="A443" t="s">
        <v>2617</v>
      </c>
      <c r="B443" t="s">
        <v>2618</v>
      </c>
      <c r="C443" t="s">
        <v>1751</v>
      </c>
      <c r="D443" s="8">
        <v>1</v>
      </c>
      <c r="E443" s="9">
        <v>455.87</v>
      </c>
      <c r="F443" s="8">
        <v>28</v>
      </c>
      <c r="G443" s="10"/>
      <c r="H443" s="9" t="str">
        <f>IF(G443="","",E443*G443)</f>
        <v/>
      </c>
      <c r="I443" s="11" t="str">
        <f>HYPERLINK("https://optomposuda.ru/product/tarelka-virdzhiniya-almaz-21sm-bez-upakovki-kor-8sht-17290-1","открыть")</f>
        <v>открыть</v>
      </c>
    </row>
    <row r="444" spans="1:9" x14ac:dyDescent="0.25">
      <c r="A444" t="s">
        <v>2619</v>
      </c>
      <c r="B444" t="s">
        <v>2620</v>
      </c>
      <c r="C444" t="s">
        <v>1751</v>
      </c>
      <c r="D444" s="8">
        <v>1</v>
      </c>
      <c r="E444" s="9">
        <v>729.39</v>
      </c>
      <c r="F444" s="8">
        <v>9</v>
      </c>
      <c r="G444" s="10"/>
      <c r="H444" s="9" t="str">
        <f>IF(G444="","",E444*G444)</f>
        <v/>
      </c>
      <c r="I444" s="11" t="str">
        <f>HYPERLINK("https://optomposuda.ru/product/tarelka-virdzhiniya-almaz-28sm-kor-6sht-18291-1","открыть")</f>
        <v>открыть</v>
      </c>
    </row>
    <row r="445" spans="1:9" x14ac:dyDescent="0.25">
      <c r="A445" t="s">
        <v>2621</v>
      </c>
      <c r="B445" t="s">
        <v>2622</v>
      </c>
      <c r="C445" t="s">
        <v>1751</v>
      </c>
      <c r="D445" s="8">
        <v>8</v>
      </c>
      <c r="E445" s="9">
        <v>335.11</v>
      </c>
      <c r="F445" s="8">
        <v>98</v>
      </c>
      <c r="G445" s="10"/>
      <c r="H445" s="9" t="str">
        <f>IF(G445="","",E445*G445)</f>
        <v/>
      </c>
      <c r="I445" s="11" t="str">
        <f>HYPERLINK("https://optomposuda.ru/product/tarelka-virdzhiniya-zhemchuzhnaya-zoloto-21-sm","открыть")</f>
        <v>открыть</v>
      </c>
    </row>
    <row r="446" spans="1:9" x14ac:dyDescent="0.25">
      <c r="A446" t="s">
        <v>2623</v>
      </c>
      <c r="B446" t="s">
        <v>2624</v>
      </c>
      <c r="C446" t="s">
        <v>1751</v>
      </c>
      <c r="D446" s="8">
        <v>6</v>
      </c>
      <c r="E446" s="9">
        <v>609.61</v>
      </c>
      <c r="F446" s="8">
        <v>209</v>
      </c>
      <c r="G446" s="10"/>
      <c r="H446" s="9" t="str">
        <f>IF(G446="","",E446*G446)</f>
        <v/>
      </c>
      <c r="I446" s="11" t="str">
        <f>HYPERLINK("https://optomposuda.ru/product/tarelka-virdzhiniya-zhemchuzhnaya-zoloto-28-sm","открыть")</f>
        <v>открыть</v>
      </c>
    </row>
    <row r="447" spans="1:9" x14ac:dyDescent="0.25">
      <c r="A447" t="s">
        <v>2625</v>
      </c>
      <c r="B447" t="s">
        <v>2626</v>
      </c>
      <c r="C447" t="s">
        <v>1751</v>
      </c>
      <c r="D447" s="8">
        <v>8</v>
      </c>
      <c r="E447" s="9">
        <v>335.11</v>
      </c>
      <c r="F447" s="8">
        <v>81</v>
      </c>
      <c r="G447" s="10"/>
      <c r="H447" s="9" t="str">
        <f>IF(G447="","",E447*G447)</f>
        <v/>
      </c>
      <c r="I447" s="11" t="str">
        <f>HYPERLINK("https://optomposuda.ru/product/tarelka-virdzhiniya-zhemchuzhnaya-serebro-21-sm","открыть")</f>
        <v>открыть</v>
      </c>
    </row>
    <row r="448" spans="1:9" x14ac:dyDescent="0.25">
      <c r="A448" t="s">
        <v>2627</v>
      </c>
      <c r="B448" t="s">
        <v>2628</v>
      </c>
      <c r="C448" t="s">
        <v>1751</v>
      </c>
      <c r="D448" s="8">
        <v>6</v>
      </c>
      <c r="E448" s="9">
        <v>609.61</v>
      </c>
      <c r="F448" s="8">
        <v>133</v>
      </c>
      <c r="G448" s="10"/>
      <c r="H448" s="9" t="str">
        <f>IF(G448="","",E448*G448)</f>
        <v/>
      </c>
      <c r="I448" s="11" t="str">
        <f>HYPERLINK("https://optomposuda.ru/product/tarelka-virdzhiniya-zhemchuzhnaya-serebro-28-sm","открыть")</f>
        <v>открыть</v>
      </c>
    </row>
    <row r="449" spans="1:9" x14ac:dyDescent="0.25">
      <c r="A449" t="s">
        <v>2629</v>
      </c>
      <c r="B449" t="s">
        <v>2630</v>
      </c>
      <c r="C449" t="s">
        <v>1751</v>
      </c>
      <c r="D449" s="8">
        <v>8</v>
      </c>
      <c r="E449" s="9">
        <v>300.06</v>
      </c>
      <c r="F449" s="8">
        <v>293</v>
      </c>
      <c r="G449" s="10"/>
      <c r="H449" s="9" t="str">
        <f>IF(G449="","",E449*G449)</f>
        <v/>
      </c>
      <c r="I449" s="11" t="str">
        <f>HYPERLINK("https://optomposuda.ru/product/tarelka-virdzhiniya-zoloto-21-sm","открыть")</f>
        <v>открыть</v>
      </c>
    </row>
    <row r="450" spans="1:9" x14ac:dyDescent="0.25">
      <c r="A450" t="s">
        <v>2631</v>
      </c>
      <c r="B450" t="s">
        <v>2632</v>
      </c>
      <c r="C450" t="s">
        <v>1751</v>
      </c>
      <c r="D450" s="8">
        <v>6</v>
      </c>
      <c r="E450" s="9">
        <v>538.72</v>
      </c>
      <c r="F450" s="8">
        <v>138</v>
      </c>
      <c r="G450" s="10"/>
      <c r="H450" s="9" t="str">
        <f>IF(G450="","",E450*G450)</f>
        <v/>
      </c>
      <c r="I450" s="11" t="str">
        <f>HYPERLINK("https://optomposuda.ru/product/tarelka-virdzhiniya-zoloto-28-sm","открыть")</f>
        <v>открыть</v>
      </c>
    </row>
    <row r="451" spans="1:9" x14ac:dyDescent="0.25">
      <c r="A451" t="s">
        <v>2633</v>
      </c>
      <c r="B451" t="s">
        <v>2634</v>
      </c>
      <c r="C451" t="s">
        <v>1751</v>
      </c>
      <c r="D451" s="8">
        <v>6</v>
      </c>
      <c r="E451" s="9">
        <v>792.54</v>
      </c>
      <c r="F451" s="8">
        <v>279</v>
      </c>
      <c r="G451" s="10"/>
      <c r="H451" s="9" t="str">
        <f>IF(G451="","",E451*G451)</f>
        <v/>
      </c>
      <c r="I451" s="11" t="str">
        <f>HYPERLINK("https://optomposuda.ru/product/tarelka-virdzhiniya-zoloto-32-sm","открыть")</f>
        <v>открыть</v>
      </c>
    </row>
    <row r="452" spans="1:9" x14ac:dyDescent="0.25">
      <c r="A452" t="s">
        <v>2635</v>
      </c>
      <c r="B452" t="s">
        <v>2636</v>
      </c>
      <c r="C452" t="s">
        <v>1751</v>
      </c>
      <c r="D452" s="8">
        <v>8</v>
      </c>
      <c r="E452" s="9">
        <v>300.06</v>
      </c>
      <c r="F452" s="8">
        <v>117</v>
      </c>
      <c r="G452" s="10"/>
      <c r="H452" s="9" t="str">
        <f>IF(G452="","",E452*G452)</f>
        <v/>
      </c>
      <c r="I452" s="11" t="str">
        <f>HYPERLINK("https://optomposuda.ru/product/tarelka-virdzhiniya-serebro-21-sm","открыть")</f>
        <v>открыть</v>
      </c>
    </row>
    <row r="453" spans="1:9" x14ac:dyDescent="0.25">
      <c r="A453" t="s">
        <v>2637</v>
      </c>
      <c r="B453" t="s">
        <v>2638</v>
      </c>
      <c r="C453" t="s">
        <v>1751</v>
      </c>
      <c r="D453" s="8">
        <v>6</v>
      </c>
      <c r="E453" s="9">
        <v>538.72</v>
      </c>
      <c r="F453" s="8">
        <v>290</v>
      </c>
      <c r="G453" s="10"/>
      <c r="H453" s="9" t="str">
        <f>IF(G453="","",E453*G453)</f>
        <v/>
      </c>
      <c r="I453" s="11" t="str">
        <f>HYPERLINK("https://optomposuda.ru/product/tarelka-virdzhiniya-serebro-28-sm","открыть")</f>
        <v>открыть</v>
      </c>
    </row>
    <row r="454" spans="1:9" x14ac:dyDescent="0.25">
      <c r="A454" t="s">
        <v>2639</v>
      </c>
      <c r="B454" t="s">
        <v>2640</v>
      </c>
      <c r="C454" t="s">
        <v>1751</v>
      </c>
      <c r="D454" s="8">
        <v>6</v>
      </c>
      <c r="E454" s="9">
        <v>792.54</v>
      </c>
      <c r="F454" s="8">
        <v>119</v>
      </c>
      <c r="G454" s="10"/>
      <c r="H454" s="9" t="str">
        <f>IF(G454="","",E454*G454)</f>
        <v/>
      </c>
      <c r="I454" s="11" t="str">
        <f>HYPERLINK("https://optomposuda.ru/product/tarelka-virdzhiniya-serebro-32-sm","открыть")</f>
        <v>открыть</v>
      </c>
    </row>
    <row r="455" spans="1:9" x14ac:dyDescent="0.25">
      <c r="A455" t="s">
        <v>2641</v>
      </c>
      <c r="B455" t="s">
        <v>2642</v>
      </c>
      <c r="C455" t="s">
        <v>1751</v>
      </c>
      <c r="D455" s="8">
        <v>1</v>
      </c>
      <c r="E455" s="9">
        <v>354.79</v>
      </c>
      <c r="F455" s="8">
        <v>1</v>
      </c>
      <c r="G455" s="10"/>
      <c r="H455" s="9" t="str">
        <f>IF(G455="","",E455*G455)</f>
        <v/>
      </c>
      <c r="I455" s="11" t="str">
        <f>HYPERLINK("https://optomposuda.ru/product/tarelka-virdzhiniya-hrustal-28sm-kor-6sht-17291-2","открыть")</f>
        <v>открыть</v>
      </c>
    </row>
    <row r="456" spans="1:9" x14ac:dyDescent="0.25">
      <c r="A456" t="s">
        <v>2643</v>
      </c>
      <c r="B456" t="s">
        <v>2644</v>
      </c>
      <c r="C456" t="s">
        <v>1751</v>
      </c>
      <c r="D456" s="8">
        <v>8</v>
      </c>
      <c r="E456" s="9">
        <v>685.94</v>
      </c>
      <c r="F456" s="8">
        <v>23</v>
      </c>
      <c r="G456" s="10"/>
      <c r="H456" s="9" t="str">
        <f>IF(G456="","",E456*G456)</f>
        <v/>
      </c>
      <c r="I456" s="11" t="str">
        <f>HYPERLINK("https://optomposuda.ru/product/tarelka-vostorg-21-sm","открыть")</f>
        <v>открыть</v>
      </c>
    </row>
    <row r="457" spans="1:9" x14ac:dyDescent="0.25">
      <c r="A457" t="s">
        <v>2645</v>
      </c>
      <c r="B457" t="s">
        <v>2646</v>
      </c>
      <c r="C457" t="s">
        <v>1751</v>
      </c>
      <c r="D457" s="8">
        <v>6</v>
      </c>
      <c r="E457" s="9">
        <v>1043.82</v>
      </c>
      <c r="F457" s="8">
        <v>13</v>
      </c>
      <c r="G457" s="10"/>
      <c r="H457" s="9" t="str">
        <f>IF(G457="","",E457*G457)</f>
        <v/>
      </c>
      <c r="I457" s="11" t="str">
        <f>HYPERLINK("https://optomposuda.ru/product/tarelka-vostorg-28-sm","открыть")</f>
        <v>открыть</v>
      </c>
    </row>
    <row r="458" spans="1:9" x14ac:dyDescent="0.25">
      <c r="A458" t="s">
        <v>2647</v>
      </c>
      <c r="B458" t="s">
        <v>2648</v>
      </c>
      <c r="C458" t="s">
        <v>1751</v>
      </c>
      <c r="D458" s="8">
        <v>8</v>
      </c>
      <c r="E458" s="9">
        <v>364.02</v>
      </c>
      <c r="F458" s="8">
        <v>1</v>
      </c>
      <c r="G458" s="10"/>
      <c r="H458" s="9" t="str">
        <f>IF(G458="","",E458*G458)</f>
        <v/>
      </c>
      <c r="I458" s="11" t="str">
        <f>HYPERLINK("https://optomposuda.ru/product/tarelka-vsplesk-21-sm-krasnyy","открыть")</f>
        <v>открыть</v>
      </c>
    </row>
    <row r="459" spans="1:9" x14ac:dyDescent="0.25">
      <c r="A459" t="s">
        <v>2649</v>
      </c>
      <c r="B459" t="s">
        <v>2650</v>
      </c>
      <c r="C459" t="s">
        <v>1751</v>
      </c>
      <c r="D459" s="8">
        <v>6</v>
      </c>
      <c r="E459" s="9">
        <v>650.04</v>
      </c>
      <c r="F459" s="8">
        <v>340</v>
      </c>
      <c r="G459" s="10"/>
      <c r="H459" s="9" t="str">
        <f>IF(G459="","",E459*G459)</f>
        <v/>
      </c>
      <c r="I459" s="11" t="str">
        <f>HYPERLINK("https://optomposuda.ru/product/tarelka-vsplesk-28-sm-zolotoy","открыть")</f>
        <v>открыть</v>
      </c>
    </row>
    <row r="460" spans="1:9" x14ac:dyDescent="0.25">
      <c r="A460" t="s">
        <v>2651</v>
      </c>
      <c r="B460" t="s">
        <v>2652</v>
      </c>
      <c r="C460" t="s">
        <v>1751</v>
      </c>
      <c r="D460" s="8">
        <v>6</v>
      </c>
      <c r="E460" s="9">
        <v>650.04</v>
      </c>
      <c r="F460" s="8">
        <v>148</v>
      </c>
      <c r="G460" s="10"/>
      <c r="H460" s="9" t="str">
        <f>IF(G460="","",E460*G460)</f>
        <v/>
      </c>
      <c r="I460" s="11" t="str">
        <f>HYPERLINK("https://optomposuda.ru/product/tarelka-vsplesk-28-sm-krasnyy","открыть")</f>
        <v>открыть</v>
      </c>
    </row>
    <row r="461" spans="1:9" x14ac:dyDescent="0.25">
      <c r="A461" t="s">
        <v>2653</v>
      </c>
      <c r="B461" t="s">
        <v>2654</v>
      </c>
      <c r="C461" t="s">
        <v>1751</v>
      </c>
      <c r="D461" s="8">
        <v>6</v>
      </c>
      <c r="E461" s="9">
        <v>871.51</v>
      </c>
      <c r="F461" s="8">
        <v>337</v>
      </c>
      <c r="G461" s="10"/>
      <c r="H461" s="9" t="str">
        <f>IF(G461="","",E461*G461)</f>
        <v/>
      </c>
      <c r="I461" s="11" t="str">
        <f>HYPERLINK("https://optomposuda.ru/product/tarelka-vsplesk-32-sm-zolotoy","открыть")</f>
        <v>открыть</v>
      </c>
    </row>
    <row r="462" spans="1:9" x14ac:dyDescent="0.25">
      <c r="A462" t="s">
        <v>2655</v>
      </c>
      <c r="B462" t="s">
        <v>2656</v>
      </c>
      <c r="C462" t="s">
        <v>1751</v>
      </c>
      <c r="D462" s="8">
        <v>6</v>
      </c>
      <c r="E462" s="9">
        <v>871.51</v>
      </c>
      <c r="F462" s="8">
        <v>188</v>
      </c>
      <c r="G462" s="10"/>
      <c r="H462" s="9" t="str">
        <f>IF(G462="","",E462*G462)</f>
        <v/>
      </c>
      <c r="I462" s="11" t="str">
        <f>HYPERLINK("https://optomposuda.ru/product/tarelka-vsplesk-32-sm-krasnyy","открыть")</f>
        <v>открыть</v>
      </c>
    </row>
    <row r="463" spans="1:9" x14ac:dyDescent="0.25">
      <c r="A463" t="s">
        <v>2657</v>
      </c>
      <c r="B463" t="s">
        <v>2658</v>
      </c>
      <c r="C463" t="s">
        <v>1751</v>
      </c>
      <c r="D463" s="8">
        <v>1</v>
      </c>
      <c r="E463" s="9">
        <v>254.09</v>
      </c>
      <c r="F463" s="8">
        <v>215</v>
      </c>
      <c r="G463" s="10"/>
      <c r="H463" s="9" t="str">
        <f>IF(G463="","",E463*G463)</f>
        <v/>
      </c>
      <c r="I463" s="11" t="str">
        <f>HYPERLINK("https://optomposuda.ru/product/tarelka-garmoniya-krasnaya-21sm-art-15902-r","открыть")</f>
        <v>открыть</v>
      </c>
    </row>
    <row r="464" spans="1:9" x14ac:dyDescent="0.25">
      <c r="A464" t="s">
        <v>2659</v>
      </c>
      <c r="B464" t="s">
        <v>2660</v>
      </c>
      <c r="C464" t="s">
        <v>1751</v>
      </c>
      <c r="D464" s="8">
        <v>1</v>
      </c>
      <c r="E464" s="9">
        <v>356.59</v>
      </c>
      <c r="F464" s="8">
        <v>103</v>
      </c>
      <c r="G464" s="10"/>
      <c r="H464" s="9" t="str">
        <f>IF(G464="","",E464*G464)</f>
        <v/>
      </c>
      <c r="I464" s="11" t="str">
        <f>HYPERLINK("https://optomposuda.ru/product/tarelka-gloriya-21-sm-zolotaya-art-15615-g","открыть")</f>
        <v>открыть</v>
      </c>
    </row>
    <row r="465" spans="1:9" x14ac:dyDescent="0.25">
      <c r="A465" t="s">
        <v>2661</v>
      </c>
      <c r="B465" t="s">
        <v>2662</v>
      </c>
      <c r="C465" t="s">
        <v>1751</v>
      </c>
      <c r="D465" s="8">
        <v>1</v>
      </c>
      <c r="E465" s="9">
        <v>248.37</v>
      </c>
      <c r="F465" s="8">
        <v>160</v>
      </c>
      <c r="G465" s="10"/>
      <c r="H465" s="9" t="str">
        <f>IF(G465="","",E465*G465)</f>
        <v/>
      </c>
      <c r="I465" s="11" t="str">
        <f>HYPERLINK("https://optomposuda.ru/product/tarelka-gloriya-21-sm-sinyaya-art-15615-b","открыть")</f>
        <v>открыть</v>
      </c>
    </row>
    <row r="466" spans="1:9" x14ac:dyDescent="0.25">
      <c r="A466" t="s">
        <v>2663</v>
      </c>
      <c r="B466" t="s">
        <v>2664</v>
      </c>
      <c r="C466" t="s">
        <v>1751</v>
      </c>
      <c r="D466" s="8">
        <v>6</v>
      </c>
      <c r="E466" s="9">
        <v>650.04</v>
      </c>
      <c r="F466" s="8">
        <v>79</v>
      </c>
      <c r="G466" s="10"/>
      <c r="H466" s="9" t="str">
        <f>IF(G466="","",E466*G466)</f>
        <v/>
      </c>
      <c r="I466" s="11" t="str">
        <f>HYPERLINK("https://optomposuda.ru/product/tarelka-gloriya-28-sm-zolotaya","открыть")</f>
        <v>открыть</v>
      </c>
    </row>
    <row r="467" spans="1:9" x14ac:dyDescent="0.25">
      <c r="A467" t="s">
        <v>2665</v>
      </c>
      <c r="B467" t="s">
        <v>2666</v>
      </c>
      <c r="C467" t="s">
        <v>1751</v>
      </c>
      <c r="D467" s="8">
        <v>1</v>
      </c>
      <c r="E467" s="9">
        <v>408.2</v>
      </c>
      <c r="F467" s="8">
        <v>151</v>
      </c>
      <c r="G467" s="10"/>
      <c r="H467" s="9" t="str">
        <f>IF(G467="","",E467*G467)</f>
        <v/>
      </c>
      <c r="I467" s="11" t="str">
        <f>HYPERLINK("https://optomposuda.ru/product/tarelka-gloriya-28-sm-serebryanaya-art-15616-s","открыть")</f>
        <v>открыть</v>
      </c>
    </row>
    <row r="468" spans="1:9" x14ac:dyDescent="0.25">
      <c r="A468" t="s">
        <v>2667</v>
      </c>
      <c r="B468" t="s">
        <v>2668</v>
      </c>
      <c r="C468" t="s">
        <v>1751</v>
      </c>
      <c r="D468" s="8">
        <v>1</v>
      </c>
      <c r="E468" s="9">
        <v>408.2</v>
      </c>
      <c r="F468" s="8">
        <v>377</v>
      </c>
      <c r="G468" s="10"/>
      <c r="H468" s="9" t="str">
        <f>IF(G468="","",E468*G468)</f>
        <v/>
      </c>
      <c r="I468" s="11" t="str">
        <f>HYPERLINK("https://optomposuda.ru/product/tarelka-gloriya-28-sm-sinyaya-art-15616-b","открыть")</f>
        <v>открыть</v>
      </c>
    </row>
    <row r="469" spans="1:9" x14ac:dyDescent="0.25">
      <c r="A469" t="s">
        <v>2669</v>
      </c>
      <c r="B469" t="s">
        <v>2670</v>
      </c>
      <c r="C469" t="s">
        <v>1751</v>
      </c>
      <c r="D469" s="8">
        <v>1</v>
      </c>
      <c r="E469" s="9">
        <v>223.18</v>
      </c>
      <c r="F469" s="8">
        <v>6</v>
      </c>
      <c r="G469" s="10"/>
      <c r="H469" s="9" t="str">
        <f>IF(G469="","",E469*G469)</f>
        <v/>
      </c>
      <c r="I469" s="11" t="str">
        <f>HYPERLINK("https://optomposuda.ru/product/tarelka-granat-21-sm-art-16502-5","открыть")</f>
        <v>открыть</v>
      </c>
    </row>
    <row r="470" spans="1:9" x14ac:dyDescent="0.25">
      <c r="A470" t="s">
        <v>2671</v>
      </c>
      <c r="B470" t="s">
        <v>2672</v>
      </c>
      <c r="C470" t="s">
        <v>1751</v>
      </c>
      <c r="D470" s="8">
        <v>6</v>
      </c>
      <c r="E470" s="9">
        <v>806.25</v>
      </c>
      <c r="F470" s="8">
        <v>214</v>
      </c>
      <c r="G470" s="10"/>
      <c r="H470" s="9" t="str">
        <f>IF(G470="","",E470*G470)</f>
        <v/>
      </c>
      <c r="I470" s="11" t="str">
        <f>HYPERLINK("https://optomposuda.ru/product/tarelka-granat-28-sm","открыть")</f>
        <v>открыть</v>
      </c>
    </row>
    <row r="471" spans="1:9" x14ac:dyDescent="0.25">
      <c r="A471" t="s">
        <v>2673</v>
      </c>
      <c r="B471" t="s">
        <v>2674</v>
      </c>
      <c r="C471" t="s">
        <v>1751</v>
      </c>
      <c r="D471" s="8">
        <v>1</v>
      </c>
      <c r="E471" s="9">
        <v>371.32</v>
      </c>
      <c r="F471" s="8">
        <v>33</v>
      </c>
      <c r="G471" s="10"/>
      <c r="H471" s="9" t="str">
        <f>IF(G471="","",E471*G471)</f>
        <v/>
      </c>
      <c r="I471" s="11" t="str">
        <f>HYPERLINK("https://optomposuda.ru/product/tarelka-granat-28-sm-art-16579-5","открыть")</f>
        <v>открыть</v>
      </c>
    </row>
    <row r="472" spans="1:9" x14ac:dyDescent="0.25">
      <c r="A472" t="s">
        <v>2675</v>
      </c>
      <c r="B472" t="s">
        <v>2676</v>
      </c>
      <c r="C472" t="s">
        <v>1751</v>
      </c>
      <c r="D472" s="8">
        <v>6</v>
      </c>
      <c r="E472" s="9">
        <v>1015.28</v>
      </c>
      <c r="F472" s="8">
        <v>144</v>
      </c>
      <c r="G472" s="10"/>
      <c r="H472" s="9" t="str">
        <f>IF(G472="","",E472*G472)</f>
        <v/>
      </c>
      <c r="I472" s="11" t="str">
        <f>HYPERLINK("https://optomposuda.ru/product/tarelka-granat-32-sm","открыть")</f>
        <v>открыть</v>
      </c>
    </row>
    <row r="473" spans="1:9" x14ac:dyDescent="0.25">
      <c r="A473" t="s">
        <v>2677</v>
      </c>
      <c r="B473" t="s">
        <v>2678</v>
      </c>
      <c r="C473" t="s">
        <v>1751</v>
      </c>
      <c r="D473" s="8">
        <v>8</v>
      </c>
      <c r="E473" s="9">
        <v>452.8</v>
      </c>
      <c r="F473" s="8">
        <v>1</v>
      </c>
      <c r="G473" s="10"/>
      <c r="H473" s="9" t="str">
        <f>IF(G473="","",E473*G473)</f>
        <v/>
      </c>
      <c r="I473" s="11" t="str">
        <f>HYPERLINK("https://optomposuda.ru/product/tarelka-drevo-v-serebre-21-sm","открыть")</f>
        <v>открыть</v>
      </c>
    </row>
    <row r="474" spans="1:9" x14ac:dyDescent="0.25">
      <c r="A474" t="s">
        <v>2679</v>
      </c>
      <c r="B474" t="s">
        <v>2680</v>
      </c>
      <c r="C474" t="s">
        <v>1751</v>
      </c>
      <c r="D474" s="8">
        <v>8</v>
      </c>
      <c r="E474" s="9">
        <v>457.59</v>
      </c>
      <c r="F474" s="8">
        <v>14</v>
      </c>
      <c r="G474" s="10"/>
      <c r="H474" s="9" t="str">
        <f>IF(G474="","",E474*G474)</f>
        <v/>
      </c>
      <c r="I474" s="11" t="str">
        <f>HYPERLINK("https://optomposuda.ru/product/tarelka-zvezda-santy-23-sm","открыть")</f>
        <v>открыть</v>
      </c>
    </row>
    <row r="475" spans="1:9" x14ac:dyDescent="0.25">
      <c r="A475" t="s">
        <v>2681</v>
      </c>
      <c r="B475" t="s">
        <v>2682</v>
      </c>
      <c r="C475" t="s">
        <v>1751</v>
      </c>
      <c r="D475" s="8">
        <v>8</v>
      </c>
      <c r="E475" s="9">
        <v>240.71</v>
      </c>
      <c r="F475" s="8">
        <v>1</v>
      </c>
      <c r="G475" s="10"/>
      <c r="H475" s="9" t="str">
        <f>IF(G475="","",E475*G475)</f>
        <v/>
      </c>
      <c r="I475" s="11" t="str">
        <f>HYPERLINK("https://optomposuda.ru/product/tarelka-zvezda-cvetok-21-sm","открыть")</f>
        <v>открыть</v>
      </c>
    </row>
    <row r="476" spans="1:9" x14ac:dyDescent="0.25">
      <c r="A476" t="s">
        <v>2683</v>
      </c>
      <c r="B476" t="s">
        <v>2684</v>
      </c>
      <c r="C476" t="s">
        <v>1751</v>
      </c>
      <c r="D476" s="8">
        <v>8</v>
      </c>
      <c r="E476" s="9">
        <v>410.9</v>
      </c>
      <c r="F476" s="8">
        <v>296</v>
      </c>
      <c r="G476" s="10"/>
      <c r="H476" s="9" t="str">
        <f>IF(G476="","",E476*G476)</f>
        <v/>
      </c>
      <c r="I476" s="11" t="str">
        <f>HYPERLINK("https://optomposuda.ru/product/tarelka-zvezdnoe-nebo-21-sm-den","открыть")</f>
        <v>открыть</v>
      </c>
    </row>
    <row r="477" spans="1:9" x14ac:dyDescent="0.25">
      <c r="A477" t="s">
        <v>2685</v>
      </c>
      <c r="B477" t="s">
        <v>2686</v>
      </c>
      <c r="C477" t="s">
        <v>1751</v>
      </c>
      <c r="D477" s="8">
        <v>8</v>
      </c>
      <c r="E477" s="9">
        <v>410.9</v>
      </c>
      <c r="F477" s="8">
        <v>86</v>
      </c>
      <c r="G477" s="10"/>
      <c r="H477" s="9" t="str">
        <f>IF(G477="","",E477*G477)</f>
        <v/>
      </c>
      <c r="I477" s="11" t="str">
        <f>HYPERLINK("https://optomposuda.ru/product/tarelka-zvezdnoe-nebo-21-sm-noch","открыть")</f>
        <v>открыть</v>
      </c>
    </row>
    <row r="478" spans="1:9" x14ac:dyDescent="0.25">
      <c r="A478" t="s">
        <v>2687</v>
      </c>
      <c r="B478" t="s">
        <v>2688</v>
      </c>
      <c r="C478" t="s">
        <v>1751</v>
      </c>
      <c r="D478" s="8">
        <v>6</v>
      </c>
      <c r="E478" s="9">
        <v>755.53</v>
      </c>
      <c r="F478" s="8">
        <v>312</v>
      </c>
      <c r="G478" s="10"/>
      <c r="H478" s="9" t="str">
        <f>IF(G478="","",E478*G478)</f>
        <v/>
      </c>
      <c r="I478" s="11" t="str">
        <f>HYPERLINK("https://optomposuda.ru/product/tarelka-zvezdnoe-nebo-28-sm-den","открыть")</f>
        <v>открыть</v>
      </c>
    </row>
    <row r="479" spans="1:9" x14ac:dyDescent="0.25">
      <c r="A479" t="s">
        <v>2689</v>
      </c>
      <c r="B479" t="s">
        <v>2690</v>
      </c>
      <c r="C479" t="s">
        <v>1751</v>
      </c>
      <c r="D479" s="8">
        <v>6</v>
      </c>
      <c r="E479" s="9">
        <v>755.53</v>
      </c>
      <c r="F479" s="8">
        <v>117</v>
      </c>
      <c r="G479" s="10"/>
      <c r="H479" s="9" t="str">
        <f>IF(G479="","",E479*G479)</f>
        <v/>
      </c>
      <c r="I479" s="11" t="str">
        <f>HYPERLINK("https://optomposuda.ru/product/tarelka-zvezdnoe-nebo-28-sm-noch","открыть")</f>
        <v>открыть</v>
      </c>
    </row>
    <row r="480" spans="1:9" x14ac:dyDescent="0.25">
      <c r="A480" t="s">
        <v>2691</v>
      </c>
      <c r="B480" t="s">
        <v>2692</v>
      </c>
      <c r="C480" t="s">
        <v>1751</v>
      </c>
      <c r="D480" s="8">
        <v>1</v>
      </c>
      <c r="E480" s="9">
        <v>329.89</v>
      </c>
      <c r="F480" s="8">
        <v>1</v>
      </c>
      <c r="G480" s="10"/>
      <c r="H480" s="9" t="str">
        <f>IF(G480="","",E480*G480)</f>
        <v/>
      </c>
      <c r="I480" s="11" t="str">
        <f>HYPERLINK("https://optomposuda.ru/product/tarelka-zolotaya-elochka-20-sm-art-17223","открыть")</f>
        <v>открыть</v>
      </c>
    </row>
    <row r="481" spans="1:9" x14ac:dyDescent="0.25">
      <c r="A481" t="s">
        <v>2693</v>
      </c>
      <c r="B481" t="s">
        <v>2694</v>
      </c>
      <c r="C481" t="s">
        <v>1751</v>
      </c>
      <c r="D481" s="8">
        <v>6</v>
      </c>
      <c r="E481" s="9">
        <v>356.59</v>
      </c>
      <c r="F481" s="8">
        <v>521</v>
      </c>
      <c r="G481" s="10"/>
      <c r="H481" s="9" t="str">
        <f>IF(G481="","",E481*G481)</f>
        <v/>
      </c>
      <c r="I481" s="11" t="str">
        <f>HYPERLINK("https://optomposuda.ru/product/tarelka-zolotaya-kuvshinka-21-sm","открыть")</f>
        <v>открыть</v>
      </c>
    </row>
    <row r="482" spans="1:9" x14ac:dyDescent="0.25">
      <c r="A482" t="s">
        <v>2695</v>
      </c>
      <c r="B482" t="s">
        <v>2696</v>
      </c>
      <c r="C482" t="s">
        <v>1751</v>
      </c>
      <c r="D482" s="8">
        <v>6</v>
      </c>
      <c r="E482" s="9">
        <v>657.47</v>
      </c>
      <c r="F482" s="8">
        <v>251</v>
      </c>
      <c r="G482" s="10"/>
      <c r="H482" s="9" t="str">
        <f>IF(G482="","",E482*G482)</f>
        <v/>
      </c>
      <c r="I482" s="11" t="str">
        <f>HYPERLINK("https://optomposuda.ru/product/tarelka-zolotaya-kuvshinka-28-sm","открыть")</f>
        <v>открыть</v>
      </c>
    </row>
    <row r="483" spans="1:9" x14ac:dyDescent="0.25">
      <c r="A483" t="s">
        <v>2697</v>
      </c>
      <c r="B483" t="s">
        <v>2698</v>
      </c>
      <c r="C483" t="s">
        <v>1751</v>
      </c>
      <c r="D483" s="8">
        <v>6</v>
      </c>
      <c r="E483" s="9">
        <v>879.93</v>
      </c>
      <c r="F483" s="8">
        <v>521</v>
      </c>
      <c r="G483" s="10"/>
      <c r="H483" s="9" t="str">
        <f>IF(G483="","",E483*G483)</f>
        <v/>
      </c>
      <c r="I483" s="11" t="str">
        <f>HYPERLINK("https://optomposuda.ru/product/tarelka-zolotaya-kuvshinka-32-sm","открыть")</f>
        <v>открыть</v>
      </c>
    </row>
    <row r="484" spans="1:9" x14ac:dyDescent="0.25">
      <c r="A484" t="s">
        <v>2699</v>
      </c>
      <c r="B484" t="s">
        <v>2700</v>
      </c>
      <c r="C484" t="s">
        <v>1751</v>
      </c>
      <c r="D484" s="8">
        <v>1</v>
      </c>
      <c r="E484" s="9">
        <v>343.33</v>
      </c>
      <c r="F484" s="8">
        <v>304</v>
      </c>
      <c r="G484" s="10"/>
      <c r="H484" s="9" t="str">
        <f>IF(G484="","",E484*G484)</f>
        <v/>
      </c>
      <c r="I484" s="11" t="str">
        <f>HYPERLINK("https://optomposuda.ru/product/tarelka-zolotaya-rossyp-21sm-bez-upakovki-kor-8sht-19130-2","открыть")</f>
        <v>открыть</v>
      </c>
    </row>
    <row r="485" spans="1:9" x14ac:dyDescent="0.25">
      <c r="A485" t="s">
        <v>2701</v>
      </c>
      <c r="B485" t="s">
        <v>2702</v>
      </c>
      <c r="C485" t="s">
        <v>1751</v>
      </c>
      <c r="D485" s="8">
        <v>1</v>
      </c>
      <c r="E485" s="9">
        <v>617.36</v>
      </c>
      <c r="F485" s="8">
        <v>423</v>
      </c>
      <c r="G485" s="10"/>
      <c r="H485" s="9" t="str">
        <f>IF(G485="","",E485*G485)</f>
        <v/>
      </c>
      <c r="I485" s="11" t="str">
        <f>HYPERLINK("https://optomposuda.ru/product/tarelka-zolotaya-rossyp-28-sm-kor-6sht-19131-2","открыть")</f>
        <v>открыть</v>
      </c>
    </row>
    <row r="486" spans="1:9" x14ac:dyDescent="0.25">
      <c r="A486" t="s">
        <v>2703</v>
      </c>
      <c r="B486" t="s">
        <v>2704</v>
      </c>
      <c r="C486" t="s">
        <v>1751</v>
      </c>
      <c r="D486" s="8">
        <v>1</v>
      </c>
      <c r="E486" s="9">
        <v>849.58</v>
      </c>
      <c r="F486" s="8">
        <v>229</v>
      </c>
      <c r="G486" s="10"/>
      <c r="H486" s="9" t="str">
        <f>IF(G486="","",E486*G486)</f>
        <v/>
      </c>
      <c r="I486" s="11" t="str">
        <f>HYPERLINK("https://optomposuda.ru/product/tarelka-zolotaya-rossyp-33sm-kor-6sht-19132-2","открыть")</f>
        <v>открыть</v>
      </c>
    </row>
    <row r="487" spans="1:9" x14ac:dyDescent="0.25">
      <c r="A487" t="s">
        <v>2705</v>
      </c>
      <c r="B487" t="s">
        <v>2706</v>
      </c>
      <c r="C487" t="s">
        <v>1751</v>
      </c>
      <c r="D487" s="8">
        <v>1</v>
      </c>
      <c r="E487" s="9">
        <v>329.89</v>
      </c>
      <c r="F487" s="8">
        <v>1</v>
      </c>
      <c r="G487" s="10"/>
      <c r="H487" s="9" t="str">
        <f>IF(G487="","",E487*G487)</f>
        <v/>
      </c>
      <c r="I487" s="11" t="str">
        <f>HYPERLINK("https://optomposuda.ru/product/tarelka-zoloto-hyurrem-21sm-kor-8sht-17169-5","открыть")</f>
        <v>открыть</v>
      </c>
    </row>
    <row r="488" spans="1:9" x14ac:dyDescent="0.25">
      <c r="A488" t="s">
        <v>2707</v>
      </c>
      <c r="B488" t="s">
        <v>2708</v>
      </c>
      <c r="C488" t="s">
        <v>1751</v>
      </c>
      <c r="D488" s="8">
        <v>8</v>
      </c>
      <c r="E488" s="9">
        <v>827.15</v>
      </c>
      <c r="F488" s="8">
        <v>374</v>
      </c>
      <c r="G488" s="10"/>
      <c r="H488" s="9" t="str">
        <f>IF(G488="","",E488*G488)</f>
        <v/>
      </c>
      <c r="I488" s="11" t="str">
        <f>HYPERLINK("https://optomposuda.ru/product/tarelka-zolotoe-kruzhevo-21-sm","открыть")</f>
        <v>открыть</v>
      </c>
    </row>
    <row r="489" spans="1:9" x14ac:dyDescent="0.25">
      <c r="A489" t="s">
        <v>2709</v>
      </c>
      <c r="B489" t="s">
        <v>2710</v>
      </c>
      <c r="C489" t="s">
        <v>1751</v>
      </c>
      <c r="D489" s="8">
        <v>6</v>
      </c>
      <c r="E489" s="9">
        <v>1203.41</v>
      </c>
      <c r="F489" s="8">
        <v>364</v>
      </c>
      <c r="G489" s="10"/>
      <c r="H489" s="9" t="str">
        <f>IF(G489="","",E489*G489)</f>
        <v/>
      </c>
      <c r="I489" s="11" t="str">
        <f>HYPERLINK("https://optomposuda.ru/product/tarelka-zolotoe-kruzhevo-28-sm","открыть")</f>
        <v>открыть</v>
      </c>
    </row>
    <row r="490" spans="1:9" x14ac:dyDescent="0.25">
      <c r="A490" t="s">
        <v>2711</v>
      </c>
      <c r="B490" t="s">
        <v>2712</v>
      </c>
      <c r="C490" t="s">
        <v>1751</v>
      </c>
      <c r="D490" s="8">
        <v>8</v>
      </c>
      <c r="E490" s="9">
        <v>287.56</v>
      </c>
      <c r="F490" s="8">
        <v>65</v>
      </c>
      <c r="G490" s="10"/>
      <c r="H490" s="9" t="str">
        <f>IF(G490="","",E490*G490)</f>
        <v/>
      </c>
      <c r="I490" s="11" t="str">
        <f>HYPERLINK("https://optomposuda.ru/product/tarelka-kapuchino-21-sm","открыть")</f>
        <v>открыть</v>
      </c>
    </row>
    <row r="491" spans="1:9" x14ac:dyDescent="0.25">
      <c r="A491" t="s">
        <v>2713</v>
      </c>
      <c r="B491" t="s">
        <v>2714</v>
      </c>
      <c r="C491" t="s">
        <v>1751</v>
      </c>
      <c r="D491" s="8">
        <v>6</v>
      </c>
      <c r="E491" s="9">
        <v>524.16</v>
      </c>
      <c r="F491" s="8">
        <v>124</v>
      </c>
      <c r="G491" s="10"/>
      <c r="H491" s="9" t="str">
        <f>IF(G491="","",E491*G491)</f>
        <v/>
      </c>
      <c r="I491" s="11" t="str">
        <f>HYPERLINK("https://optomposuda.ru/product/tarelka-kapuchino-28-sm","открыть")</f>
        <v>открыть</v>
      </c>
    </row>
    <row r="492" spans="1:9" x14ac:dyDescent="0.25">
      <c r="A492" t="s">
        <v>2715</v>
      </c>
      <c r="B492" t="s">
        <v>2716</v>
      </c>
      <c r="C492" t="s">
        <v>1751</v>
      </c>
      <c r="D492" s="8">
        <v>6</v>
      </c>
      <c r="E492" s="9">
        <v>757.11</v>
      </c>
      <c r="F492" s="8">
        <v>273</v>
      </c>
      <c r="G492" s="10"/>
      <c r="H492" s="9" t="str">
        <f>IF(G492="","",E492*G492)</f>
        <v/>
      </c>
      <c r="I492" s="11" t="str">
        <f>HYPERLINK("https://optomposuda.ru/product/tarelka-kapuchino-32-sm","открыть")</f>
        <v>открыть</v>
      </c>
    </row>
    <row r="493" spans="1:9" x14ac:dyDescent="0.25">
      <c r="A493" t="s">
        <v>2717</v>
      </c>
      <c r="B493" t="s">
        <v>2718</v>
      </c>
      <c r="C493" t="s">
        <v>1751</v>
      </c>
      <c r="D493" s="8">
        <v>1</v>
      </c>
      <c r="E493" s="9">
        <v>652.68</v>
      </c>
      <c r="F493" s="8">
        <v>1</v>
      </c>
      <c r="G493" s="10"/>
      <c r="H493" s="9" t="str">
        <f>IF(G493="","",E493*G493)</f>
        <v/>
      </c>
      <c r="I493" s="11" t="str">
        <f>HYPERLINK("https://optomposuda.ru/product/tarelka-katrina-30sm-bez-upakovki-kor-4sht-18997","открыть")</f>
        <v>открыть</v>
      </c>
    </row>
    <row r="494" spans="1:9" x14ac:dyDescent="0.25">
      <c r="A494" t="s">
        <v>2719</v>
      </c>
      <c r="B494" t="s">
        <v>2720</v>
      </c>
      <c r="C494" t="s">
        <v>1751</v>
      </c>
      <c r="D494" s="8">
        <v>6</v>
      </c>
      <c r="E494" s="9">
        <v>631.6</v>
      </c>
      <c r="F494" s="8">
        <v>1</v>
      </c>
      <c r="G494" s="10"/>
      <c r="H494" s="9" t="str">
        <f>IF(G494="","",E494*G494)</f>
        <v/>
      </c>
      <c r="I494" s="11" t="str">
        <f>HYPERLINK("https://optomposuda.ru/product/tarelka-korallovye-rify-32-sm","открыть")</f>
        <v>открыть</v>
      </c>
    </row>
    <row r="495" spans="1:9" x14ac:dyDescent="0.25">
      <c r="A495" t="s">
        <v>2721</v>
      </c>
      <c r="B495" t="s">
        <v>2722</v>
      </c>
      <c r="C495" t="s">
        <v>1751</v>
      </c>
      <c r="D495" s="8">
        <v>8</v>
      </c>
      <c r="E495" s="9">
        <v>287.56</v>
      </c>
      <c r="F495" s="8">
        <v>278</v>
      </c>
      <c r="G495" s="10"/>
      <c r="H495" s="9" t="str">
        <f>IF(G495="","",E495*G495)</f>
        <v/>
      </c>
      <c r="I495" s="11" t="str">
        <f>HYPERLINK("https://optomposuda.ru/product/tarelka-korally-21-sm","открыть")</f>
        <v>открыть</v>
      </c>
    </row>
    <row r="496" spans="1:9" x14ac:dyDescent="0.25">
      <c r="A496" t="s">
        <v>2723</v>
      </c>
      <c r="B496" t="s">
        <v>2724</v>
      </c>
      <c r="C496" t="s">
        <v>1751</v>
      </c>
      <c r="D496" s="8">
        <v>6</v>
      </c>
      <c r="E496" s="9">
        <v>524.16</v>
      </c>
      <c r="F496" s="8">
        <v>294</v>
      </c>
      <c r="G496" s="10"/>
      <c r="H496" s="9" t="str">
        <f>IF(G496="","",E496*G496)</f>
        <v/>
      </c>
      <c r="I496" s="11" t="str">
        <f>HYPERLINK("https://optomposuda.ru/product/tarelka-korally-28-sm","открыть")</f>
        <v>открыть</v>
      </c>
    </row>
    <row r="497" spans="1:9" x14ac:dyDescent="0.25">
      <c r="A497" t="s">
        <v>2725</v>
      </c>
      <c r="B497" t="s">
        <v>2726</v>
      </c>
      <c r="C497" t="s">
        <v>1751</v>
      </c>
      <c r="D497" s="8">
        <v>6</v>
      </c>
      <c r="E497" s="9">
        <v>757.11</v>
      </c>
      <c r="F497" s="8">
        <v>358</v>
      </c>
      <c r="G497" s="10"/>
      <c r="H497" s="9" t="str">
        <f>IF(G497="","",E497*G497)</f>
        <v/>
      </c>
      <c r="I497" s="11" t="str">
        <f>HYPERLINK("https://optomposuda.ru/product/tarelka-korally-32-sm","открыть")</f>
        <v>открыть</v>
      </c>
    </row>
    <row r="498" spans="1:9" x14ac:dyDescent="0.25">
      <c r="A498" t="s">
        <v>2727</v>
      </c>
      <c r="B498" t="s">
        <v>2728</v>
      </c>
      <c r="C498" t="s">
        <v>1751</v>
      </c>
      <c r="D498" s="8">
        <v>1</v>
      </c>
      <c r="E498" s="9">
        <v>805.66</v>
      </c>
      <c r="F498" s="8">
        <v>3</v>
      </c>
      <c r="G498" s="10"/>
      <c r="H498" s="9" t="str">
        <f>IF(G498="","",E498*G498)</f>
        <v/>
      </c>
      <c r="I498" s="11" t="str">
        <f>HYPERLINK("https://optomposuda.ru/product/tarelka-koshka-32sm-bez-upakovki-kor-6sht-16504","открыть")</f>
        <v>открыть</v>
      </c>
    </row>
    <row r="499" spans="1:9" x14ac:dyDescent="0.25">
      <c r="A499" t="s">
        <v>2729</v>
      </c>
      <c r="B499" t="s">
        <v>2730</v>
      </c>
      <c r="C499" t="s">
        <v>1751</v>
      </c>
      <c r="D499" s="8">
        <v>1</v>
      </c>
      <c r="E499" s="9">
        <v>259.76</v>
      </c>
      <c r="F499" s="8">
        <v>1</v>
      </c>
      <c r="G499" s="10"/>
      <c r="H499" s="9" t="str">
        <f>IF(G499="","",E499*G499)</f>
        <v/>
      </c>
      <c r="I499" s="11" t="str">
        <f>HYPERLINK("https://optomposuda.ru/product/tarelka-krasnyy-cvetok-21-sm-art-14094rr","открыть")</f>
        <v>открыть</v>
      </c>
    </row>
    <row r="500" spans="1:9" x14ac:dyDescent="0.25">
      <c r="A500" t="s">
        <v>2731</v>
      </c>
      <c r="B500" t="s">
        <v>2732</v>
      </c>
      <c r="C500" t="s">
        <v>1751</v>
      </c>
      <c r="D500" s="8">
        <v>8</v>
      </c>
      <c r="E500" s="9">
        <v>532.08</v>
      </c>
      <c r="F500" s="8">
        <v>2</v>
      </c>
      <c r="G500" s="10"/>
      <c r="H500" s="9" t="str">
        <f>IF(G500="","",E500*G500)</f>
        <v/>
      </c>
      <c r="I500" s="11" t="str">
        <f>HYPERLINK("https://optomposuda.ru/product/tarelka-kristal-21-sm","открыть")</f>
        <v>открыть</v>
      </c>
    </row>
    <row r="501" spans="1:9" x14ac:dyDescent="0.25">
      <c r="A501" t="s">
        <v>2733</v>
      </c>
      <c r="B501" t="s">
        <v>2734</v>
      </c>
      <c r="C501" t="s">
        <v>1751</v>
      </c>
      <c r="D501" s="8">
        <v>6</v>
      </c>
      <c r="E501" s="9">
        <v>330.77</v>
      </c>
      <c r="F501" s="8">
        <v>215</v>
      </c>
      <c r="G501" s="10"/>
      <c r="H501" s="9" t="str">
        <f>IF(G501="","",E501*G501)</f>
        <v/>
      </c>
      <c r="I501" s="11" t="str">
        <f>HYPERLINK("https://optomposuda.ru/product/tarelka-kuvshinka-indiana-21-sm","открыть")</f>
        <v>открыть</v>
      </c>
    </row>
    <row r="502" spans="1:9" x14ac:dyDescent="0.25">
      <c r="A502" t="s">
        <v>2735</v>
      </c>
      <c r="B502" t="s">
        <v>2736</v>
      </c>
      <c r="C502" t="s">
        <v>1751</v>
      </c>
      <c r="D502" s="8">
        <v>6</v>
      </c>
      <c r="E502" s="9">
        <v>606.04</v>
      </c>
      <c r="F502" s="8">
        <v>111</v>
      </c>
      <c r="G502" s="10"/>
      <c r="H502" s="9" t="str">
        <f>IF(G502="","",E502*G502)</f>
        <v/>
      </c>
      <c r="I502" s="11" t="str">
        <f>HYPERLINK("https://optomposuda.ru/product/tarelka-kuvshinka-indiana-28-sm","открыть")</f>
        <v>открыть</v>
      </c>
    </row>
    <row r="503" spans="1:9" x14ac:dyDescent="0.25">
      <c r="A503" t="s">
        <v>2737</v>
      </c>
      <c r="B503" t="s">
        <v>2738</v>
      </c>
      <c r="C503" t="s">
        <v>1751</v>
      </c>
      <c r="D503" s="8">
        <v>6</v>
      </c>
      <c r="E503" s="9">
        <v>867.99</v>
      </c>
      <c r="F503" s="8">
        <v>372</v>
      </c>
      <c r="G503" s="10"/>
      <c r="H503" s="9" t="str">
        <f>IF(G503="","",E503*G503)</f>
        <v/>
      </c>
      <c r="I503" s="11" t="str">
        <f>HYPERLINK("https://optomposuda.ru/product/tarelka-kuvshinka-indiana-32-sm","открыть")</f>
        <v>открыть</v>
      </c>
    </row>
    <row r="504" spans="1:9" x14ac:dyDescent="0.25">
      <c r="A504" t="s">
        <v>2739</v>
      </c>
      <c r="B504" t="s">
        <v>2740</v>
      </c>
      <c r="C504" t="s">
        <v>1751</v>
      </c>
      <c r="D504" s="8">
        <v>6</v>
      </c>
      <c r="E504" s="9">
        <v>356.59</v>
      </c>
      <c r="F504" s="8">
        <v>437</v>
      </c>
      <c r="G504" s="10"/>
      <c r="H504" s="9" t="str">
        <f>IF(G504="","",E504*G504)</f>
        <v/>
      </c>
      <c r="I504" s="11" t="str">
        <f>HYPERLINK("https://optomposuda.ru/product/tarelka-kuvshinka-nimfeya-21-sm","открыть")</f>
        <v>открыть</v>
      </c>
    </row>
    <row r="505" spans="1:9" x14ac:dyDescent="0.25">
      <c r="A505" t="s">
        <v>2741</v>
      </c>
      <c r="B505" t="s">
        <v>2742</v>
      </c>
      <c r="C505" t="s">
        <v>1751</v>
      </c>
      <c r="D505" s="8">
        <v>6</v>
      </c>
      <c r="E505" s="9">
        <v>657.47</v>
      </c>
      <c r="F505" s="8">
        <v>349</v>
      </c>
      <c r="G505" s="10"/>
      <c r="H505" s="9" t="str">
        <f>IF(G505="","",E505*G505)</f>
        <v/>
      </c>
      <c r="I505" s="11" t="str">
        <f>HYPERLINK("https://optomposuda.ru/product/tarelka-kuvshinka-nimfeya-28-sm","открыть")</f>
        <v>открыть</v>
      </c>
    </row>
    <row r="506" spans="1:9" x14ac:dyDescent="0.25">
      <c r="A506" t="s">
        <v>2743</v>
      </c>
      <c r="B506" t="s">
        <v>2744</v>
      </c>
      <c r="C506" t="s">
        <v>1751</v>
      </c>
      <c r="D506" s="8">
        <v>6</v>
      </c>
      <c r="E506" s="9">
        <v>879.93</v>
      </c>
      <c r="F506" s="8">
        <v>840</v>
      </c>
      <c r="G506" s="10"/>
      <c r="H506" s="9" t="str">
        <f>IF(G506="","",E506*G506)</f>
        <v/>
      </c>
      <c r="I506" s="11" t="str">
        <f>HYPERLINK("https://optomposuda.ru/product/tarelka-kuvshinka-nimfeya-32-sm","открыть")</f>
        <v>открыть</v>
      </c>
    </row>
    <row r="507" spans="1:9" x14ac:dyDescent="0.25">
      <c r="A507" t="s">
        <v>2745</v>
      </c>
      <c r="B507" t="s">
        <v>2746</v>
      </c>
      <c r="C507" t="s">
        <v>1751</v>
      </c>
      <c r="D507" s="8">
        <v>8</v>
      </c>
      <c r="E507" s="9">
        <v>768.9</v>
      </c>
      <c r="F507" s="8">
        <v>142</v>
      </c>
      <c r="G507" s="10"/>
      <c r="H507" s="9" t="str">
        <f>IF(G507="","",E507*G507)</f>
        <v/>
      </c>
      <c r="I507" s="11" t="str">
        <f>HYPERLINK("https://optomposuda.ru/product/tarelka-ledyanoy-cvetok-zoloto-21-sm","открыть")</f>
        <v>открыть</v>
      </c>
    </row>
    <row r="508" spans="1:9" x14ac:dyDescent="0.25">
      <c r="A508" t="s">
        <v>2747</v>
      </c>
      <c r="B508" t="s">
        <v>2748</v>
      </c>
      <c r="C508" t="s">
        <v>1751</v>
      </c>
      <c r="D508" s="8">
        <v>8</v>
      </c>
      <c r="E508" s="9">
        <v>768.9</v>
      </c>
      <c r="F508" s="8">
        <v>193</v>
      </c>
      <c r="G508" s="10"/>
      <c r="H508" s="9" t="str">
        <f>IF(G508="","",E508*G508)</f>
        <v/>
      </c>
      <c r="I508" s="11" t="str">
        <f>HYPERLINK("https://optomposuda.ru/product/tarelka-ledyanoy-cvetok-serebro-21-sm","открыть")</f>
        <v>открыть</v>
      </c>
    </row>
    <row r="509" spans="1:9" x14ac:dyDescent="0.25">
      <c r="A509" t="s">
        <v>2749</v>
      </c>
      <c r="B509" t="s">
        <v>2750</v>
      </c>
      <c r="C509" t="s">
        <v>1751</v>
      </c>
      <c r="D509" s="8">
        <v>1</v>
      </c>
      <c r="E509" s="9">
        <v>541.77</v>
      </c>
      <c r="F509" s="8">
        <v>98</v>
      </c>
      <c r="G509" s="10"/>
      <c r="H509" s="9" t="str">
        <f>IF(G509="","",E509*G509)</f>
        <v/>
      </c>
      <c r="I509" s="11" t="str">
        <f>HYPERLINK("https://optomposuda.ru/product/tarelka-lunnoe-siyanie-21sm-bez-upakovki-kor-8sht-18783-1","открыть")</f>
        <v>открыть</v>
      </c>
    </row>
    <row r="510" spans="1:9" x14ac:dyDescent="0.25">
      <c r="A510" t="s">
        <v>2751</v>
      </c>
      <c r="B510" t="s">
        <v>2752</v>
      </c>
      <c r="C510" t="s">
        <v>1751</v>
      </c>
      <c r="D510" s="8">
        <v>1</v>
      </c>
      <c r="E510" s="9">
        <v>828.4</v>
      </c>
      <c r="F510" s="8">
        <v>147</v>
      </c>
      <c r="G510" s="10"/>
      <c r="H510" s="9" t="str">
        <f>IF(G510="","",E510*G510)</f>
        <v/>
      </c>
      <c r="I510" s="11" t="str">
        <f>HYPERLINK("https://optomposuda.ru/product/tarelka-lunnoe-siyanie-28sm-kor-6sht-18784-1","открыть")</f>
        <v>открыть</v>
      </c>
    </row>
    <row r="511" spans="1:9" x14ac:dyDescent="0.25">
      <c r="A511" t="s">
        <v>2753</v>
      </c>
      <c r="B511" t="s">
        <v>2754</v>
      </c>
      <c r="C511" t="s">
        <v>1751</v>
      </c>
      <c r="D511" s="8">
        <v>8</v>
      </c>
      <c r="E511" s="9">
        <v>286.63</v>
      </c>
      <c r="F511" s="8">
        <v>103</v>
      </c>
      <c r="G511" s="10"/>
      <c r="H511" s="9" t="str">
        <f>IF(G511="","",E511*G511)</f>
        <v/>
      </c>
      <c r="I511" s="11" t="str">
        <f>HYPERLINK("https://optomposuda.ru/product/tarelka-lunnyy-bosfor-21sm-15902-v","открыть")</f>
        <v>открыть</v>
      </c>
    </row>
    <row r="512" spans="1:9" x14ac:dyDescent="0.25">
      <c r="A512" t="s">
        <v>2755</v>
      </c>
      <c r="B512" t="s">
        <v>2756</v>
      </c>
      <c r="C512" t="s">
        <v>1751</v>
      </c>
      <c r="D512" s="8">
        <v>6</v>
      </c>
      <c r="E512" s="9">
        <v>529.17</v>
      </c>
      <c r="F512" s="8">
        <v>197</v>
      </c>
      <c r="G512" s="10"/>
      <c r="H512" s="9" t="str">
        <f>IF(G512="","",E512*G512)</f>
        <v/>
      </c>
      <c r="I512" s="11" t="str">
        <f>HYPERLINK("https://optomposuda.ru/product/tarelka-lunnyy-bosfor-28sm-15903-v","открыть")</f>
        <v>открыть</v>
      </c>
    </row>
    <row r="513" spans="1:9" x14ac:dyDescent="0.25">
      <c r="A513" t="s">
        <v>2757</v>
      </c>
      <c r="B513" t="s">
        <v>2758</v>
      </c>
      <c r="C513" t="s">
        <v>1751</v>
      </c>
      <c r="D513" s="8">
        <v>6</v>
      </c>
      <c r="E513" s="9">
        <v>771.7</v>
      </c>
      <c r="F513" s="8">
        <v>142</v>
      </c>
      <c r="G513" s="10"/>
      <c r="H513" s="9" t="str">
        <f>IF(G513="","",E513*G513)</f>
        <v/>
      </c>
      <c r="I513" s="11" t="str">
        <f>HYPERLINK("https://optomposuda.ru/product/tarelka-lunnyy-bosfor-32sm-15904-v","открыть")</f>
        <v>открыть</v>
      </c>
    </row>
    <row r="514" spans="1:9" x14ac:dyDescent="0.25">
      <c r="A514" t="s">
        <v>2759</v>
      </c>
      <c r="B514" t="s">
        <v>2760</v>
      </c>
      <c r="C514" t="s">
        <v>1751</v>
      </c>
      <c r="D514" s="8">
        <v>8</v>
      </c>
      <c r="E514" s="9">
        <v>412.31</v>
      </c>
      <c r="F514" s="8">
        <v>220</v>
      </c>
      <c r="G514" s="10"/>
      <c r="H514" s="9" t="str">
        <f>IF(G514="","",E514*G514)</f>
        <v/>
      </c>
      <c r="I514" s="11" t="str">
        <f>HYPERLINK("https://optomposuda.ru/product/tarelka-maki-21-sm","открыть")</f>
        <v>открыть</v>
      </c>
    </row>
    <row r="515" spans="1:9" x14ac:dyDescent="0.25">
      <c r="A515" t="s">
        <v>2761</v>
      </c>
      <c r="B515" t="s">
        <v>2762</v>
      </c>
      <c r="C515" t="s">
        <v>1751</v>
      </c>
      <c r="D515" s="8">
        <v>1</v>
      </c>
      <c r="E515" s="9">
        <v>343.33</v>
      </c>
      <c r="F515" s="8">
        <v>417</v>
      </c>
      <c r="G515" s="10"/>
      <c r="H515" s="9" t="str">
        <f>IF(G515="","",E515*G515)</f>
        <v/>
      </c>
      <c r="I515" s="11" t="str">
        <f>HYPERLINK("https://optomposuda.ru/product/tarelka-mercanie-nochi-21sm-bez-upakovki-kor-8sht-19130-3","открыть")</f>
        <v>открыть</v>
      </c>
    </row>
    <row r="516" spans="1:9" x14ac:dyDescent="0.25">
      <c r="A516" t="s">
        <v>2763</v>
      </c>
      <c r="B516" t="s">
        <v>2764</v>
      </c>
      <c r="C516" t="s">
        <v>1751</v>
      </c>
      <c r="D516" s="8">
        <v>1</v>
      </c>
      <c r="E516" s="9">
        <v>622.17</v>
      </c>
      <c r="F516" s="8">
        <v>346</v>
      </c>
      <c r="G516" s="10"/>
      <c r="H516" s="9" t="str">
        <f>IF(G516="","",E516*G516)</f>
        <v/>
      </c>
      <c r="I516" s="11" t="str">
        <f>HYPERLINK("https://optomposuda.ru/product/tarelka-mercanie-nochi-28sm-kor-6sht-19131-3","открыть")</f>
        <v>открыть</v>
      </c>
    </row>
    <row r="517" spans="1:9" x14ac:dyDescent="0.25">
      <c r="A517" t="s">
        <v>2765</v>
      </c>
      <c r="B517" t="s">
        <v>2766</v>
      </c>
      <c r="C517" t="s">
        <v>1751</v>
      </c>
      <c r="D517" s="8">
        <v>1</v>
      </c>
      <c r="E517" s="9">
        <v>804.21</v>
      </c>
      <c r="F517" s="8">
        <v>181</v>
      </c>
      <c r="G517" s="10"/>
      <c r="H517" s="9" t="str">
        <f>IF(G517="","",E517*G517)</f>
        <v/>
      </c>
      <c r="I517" s="11" t="str">
        <f>HYPERLINK("https://optomposuda.ru/product/tarelka-mercanie-nochi-33-sm-kor-6sht-19132-3","открыть")</f>
        <v>открыть</v>
      </c>
    </row>
    <row r="518" spans="1:9" x14ac:dyDescent="0.25">
      <c r="A518" t="s">
        <v>2767</v>
      </c>
      <c r="B518" t="s">
        <v>2768</v>
      </c>
      <c r="C518" t="s">
        <v>1751</v>
      </c>
      <c r="D518" s="8">
        <v>8</v>
      </c>
      <c r="E518" s="9">
        <v>406.41</v>
      </c>
      <c r="F518" s="8">
        <v>27</v>
      </c>
      <c r="G518" s="10"/>
      <c r="H518" s="9" t="str">
        <f>IF(G518="","",E518*G518)</f>
        <v/>
      </c>
      <c r="I518" s="11" t="str">
        <f>HYPERLINK("https://optomposuda.ru/product/tarelka-metelica-beloe-21-sm","открыть")</f>
        <v>открыть</v>
      </c>
    </row>
    <row r="519" spans="1:9" x14ac:dyDescent="0.25">
      <c r="A519" t="s">
        <v>2769</v>
      </c>
      <c r="B519" t="s">
        <v>2770</v>
      </c>
      <c r="C519" t="s">
        <v>1751</v>
      </c>
      <c r="D519" s="8">
        <v>6</v>
      </c>
      <c r="E519" s="9">
        <v>734.39</v>
      </c>
      <c r="F519" s="8">
        <v>1</v>
      </c>
      <c r="G519" s="10"/>
      <c r="H519" s="9" t="str">
        <f>IF(G519="","",E519*G519)</f>
        <v/>
      </c>
      <c r="I519" s="11" t="str">
        <f>HYPERLINK("https://optomposuda.ru/product/tarelka-metelica-beloe-28-sm","открыть")</f>
        <v>открыть</v>
      </c>
    </row>
    <row r="520" spans="1:9" x14ac:dyDescent="0.25">
      <c r="A520" t="s">
        <v>2771</v>
      </c>
      <c r="B520" t="s">
        <v>2772</v>
      </c>
      <c r="C520" t="s">
        <v>1751</v>
      </c>
      <c r="D520" s="8">
        <v>6</v>
      </c>
      <c r="E520" s="9">
        <v>650.84</v>
      </c>
      <c r="F520" s="8">
        <v>1</v>
      </c>
      <c r="G520" s="10"/>
      <c r="H520" s="9" t="str">
        <f>IF(G520="","",E520*G520)</f>
        <v/>
      </c>
      <c r="I520" s="11" t="str">
        <f>HYPERLINK("https://optomposuda.ru/product/tarelka-metelica-beloe-32-sm","открыть")</f>
        <v>открыть</v>
      </c>
    </row>
    <row r="521" spans="1:9" x14ac:dyDescent="0.25">
      <c r="A521" t="s">
        <v>2773</v>
      </c>
      <c r="B521" t="s">
        <v>2774</v>
      </c>
      <c r="C521" t="s">
        <v>1751</v>
      </c>
      <c r="D521" s="8">
        <v>6</v>
      </c>
      <c r="E521" s="9">
        <v>742.27</v>
      </c>
      <c r="F521" s="8">
        <v>71</v>
      </c>
      <c r="G521" s="10"/>
      <c r="H521" s="9" t="str">
        <f>IF(G521="","",E521*G521)</f>
        <v/>
      </c>
      <c r="I521" s="11" t="str">
        <f>HYPERLINK("https://optomposuda.ru/product/tarelka-metelica-krasnoe-28-sm","открыть")</f>
        <v>открыть</v>
      </c>
    </row>
    <row r="522" spans="1:9" x14ac:dyDescent="0.25">
      <c r="A522" t="s">
        <v>2775</v>
      </c>
      <c r="B522" t="s">
        <v>2776</v>
      </c>
      <c r="C522" t="s">
        <v>1751</v>
      </c>
      <c r="D522" s="8">
        <v>6</v>
      </c>
      <c r="E522" s="9">
        <v>982.91</v>
      </c>
      <c r="F522" s="8">
        <v>93</v>
      </c>
      <c r="G522" s="10"/>
      <c r="H522" s="9" t="str">
        <f>IF(G522="","",E522*G522)</f>
        <v/>
      </c>
      <c r="I522" s="11" t="str">
        <f>HYPERLINK("https://optomposuda.ru/product/tarelka-metelica-krasnoe-32-sm-art-16823-r","открыть")</f>
        <v>открыть</v>
      </c>
    </row>
    <row r="523" spans="1:9" x14ac:dyDescent="0.25">
      <c r="A523" t="s">
        <v>2777</v>
      </c>
      <c r="B523" t="s">
        <v>2778</v>
      </c>
      <c r="C523" t="s">
        <v>1751</v>
      </c>
      <c r="D523" s="8">
        <v>8</v>
      </c>
      <c r="E523" s="9">
        <v>287.56</v>
      </c>
      <c r="F523" s="8">
        <v>55</v>
      </c>
      <c r="G523" s="10"/>
      <c r="H523" s="9" t="str">
        <f>IF(G523="","",E523*G523)</f>
        <v/>
      </c>
      <c r="I523" s="11" t="str">
        <f>HYPERLINK("https://optomposuda.ru/product/tarelka-mokko-21-sm","открыть")</f>
        <v>открыть</v>
      </c>
    </row>
    <row r="524" spans="1:9" x14ac:dyDescent="0.25">
      <c r="A524" t="s">
        <v>2779</v>
      </c>
      <c r="B524" t="s">
        <v>2780</v>
      </c>
      <c r="C524" t="s">
        <v>1751</v>
      </c>
      <c r="D524" s="8">
        <v>6</v>
      </c>
      <c r="E524" s="9">
        <v>524.16</v>
      </c>
      <c r="F524" s="8">
        <v>94</v>
      </c>
      <c r="G524" s="10"/>
      <c r="H524" s="9" t="str">
        <f>IF(G524="","",E524*G524)</f>
        <v/>
      </c>
      <c r="I524" s="11" t="str">
        <f>HYPERLINK("https://optomposuda.ru/product/tarelka-mokko-28-sm","открыть")</f>
        <v>открыть</v>
      </c>
    </row>
    <row r="525" spans="1:9" x14ac:dyDescent="0.25">
      <c r="A525" t="s">
        <v>2781</v>
      </c>
      <c r="B525" t="s">
        <v>2782</v>
      </c>
      <c r="C525" t="s">
        <v>1751</v>
      </c>
      <c r="D525" s="8">
        <v>6</v>
      </c>
      <c r="E525" s="9">
        <v>757.11</v>
      </c>
      <c r="F525" s="8">
        <v>284</v>
      </c>
      <c r="G525" s="10"/>
      <c r="H525" s="9" t="str">
        <f>IF(G525="","",E525*G525)</f>
        <v/>
      </c>
      <c r="I525" s="11" t="str">
        <f>HYPERLINK("https://optomposuda.ru/product/tarelka-mokko-32-sm","открыть")</f>
        <v>открыть</v>
      </c>
    </row>
    <row r="526" spans="1:9" x14ac:dyDescent="0.25">
      <c r="A526" t="s">
        <v>2783</v>
      </c>
      <c r="B526" t="s">
        <v>2784</v>
      </c>
      <c r="C526" t="s">
        <v>1751</v>
      </c>
      <c r="D526" s="8">
        <v>16</v>
      </c>
      <c r="E526" s="9">
        <v>318.93</v>
      </c>
      <c r="F526" s="8">
        <v>1</v>
      </c>
      <c r="G526" s="10"/>
      <c r="H526" s="9" t="str">
        <f>IF(G526="","",E526*G526)</f>
        <v/>
      </c>
      <c r="I526" s="11" t="str">
        <f>HYPERLINK("https://optomposuda.ru/product/tarelka-novogodnyaya-elka-17-sm-belaya-s-serebrom","открыть")</f>
        <v>открыть</v>
      </c>
    </row>
    <row r="527" spans="1:9" x14ac:dyDescent="0.25">
      <c r="A527" t="s">
        <v>2785</v>
      </c>
      <c r="B527" t="s">
        <v>2786</v>
      </c>
      <c r="C527" t="s">
        <v>1751</v>
      </c>
      <c r="D527" s="8">
        <v>16</v>
      </c>
      <c r="E527" s="9">
        <v>318.93</v>
      </c>
      <c r="F527" s="8">
        <v>1</v>
      </c>
      <c r="G527" s="10"/>
      <c r="H527" s="9" t="str">
        <f>IF(G527="","",E527*G527)</f>
        <v/>
      </c>
      <c r="I527" s="11" t="str">
        <f>HYPERLINK("https://optomposuda.ru/product/tarelka-novogodnyaya-elka-17-sm-zelenyy-s-zolotom","открыть")</f>
        <v>открыть</v>
      </c>
    </row>
    <row r="528" spans="1:9" x14ac:dyDescent="0.25">
      <c r="A528" t="s">
        <v>2787</v>
      </c>
      <c r="B528" t="s">
        <v>2788</v>
      </c>
      <c r="C528" t="s">
        <v>1751</v>
      </c>
      <c r="D528" s="8">
        <v>16</v>
      </c>
      <c r="E528" s="9">
        <v>318.93</v>
      </c>
      <c r="F528" s="8">
        <v>3</v>
      </c>
      <c r="G528" s="10"/>
      <c r="H528" s="9" t="str">
        <f>IF(G528="","",E528*G528)</f>
        <v/>
      </c>
      <c r="I528" s="11" t="str">
        <f>HYPERLINK("https://optomposuda.ru/product/tarelka-novogodnyaya-elka-17-sm-krasnyy-s-zelenym","открыть")</f>
        <v>открыть</v>
      </c>
    </row>
    <row r="529" spans="1:9" x14ac:dyDescent="0.25">
      <c r="A529" t="s">
        <v>2789</v>
      </c>
      <c r="B529" t="s">
        <v>2790</v>
      </c>
      <c r="C529" t="s">
        <v>1751</v>
      </c>
      <c r="D529" s="8">
        <v>16</v>
      </c>
      <c r="E529" s="9">
        <v>318.93</v>
      </c>
      <c r="F529" s="8">
        <v>1</v>
      </c>
      <c r="G529" s="10"/>
      <c r="H529" s="9" t="str">
        <f>IF(G529="","",E529*G529)</f>
        <v/>
      </c>
      <c r="I529" s="11" t="str">
        <f>HYPERLINK("https://optomposuda.ru/product/tarelka-novogodnyaya-elka-17-sm-krasnyy-s-zolotym","открыть")</f>
        <v>открыть</v>
      </c>
    </row>
    <row r="530" spans="1:9" x14ac:dyDescent="0.25">
      <c r="A530" t="s">
        <v>2791</v>
      </c>
      <c r="B530" t="s">
        <v>2792</v>
      </c>
      <c r="C530" t="s">
        <v>1751</v>
      </c>
      <c r="D530" s="8">
        <v>6</v>
      </c>
      <c r="E530" s="9">
        <v>453.55</v>
      </c>
      <c r="F530" s="8">
        <v>37</v>
      </c>
      <c r="G530" s="10"/>
      <c r="H530" s="9" t="str">
        <f>IF(G530="","",E530*G530)</f>
        <v/>
      </c>
      <c r="I530" s="11" t="str">
        <f>HYPERLINK("https://optomposuda.ru/product/tarelka-novogodnyaya-elka-24-sm-zolotistaya-s-zelenym","открыть")</f>
        <v>открыть</v>
      </c>
    </row>
    <row r="531" spans="1:9" x14ac:dyDescent="0.25">
      <c r="A531" t="s">
        <v>2793</v>
      </c>
      <c r="B531" t="s">
        <v>2794</v>
      </c>
      <c r="C531" t="s">
        <v>1751</v>
      </c>
      <c r="D531" s="8">
        <v>5</v>
      </c>
      <c r="E531" s="9">
        <v>453.55</v>
      </c>
      <c r="F531" s="8">
        <v>5</v>
      </c>
      <c r="G531" s="10"/>
      <c r="H531" s="9" t="str">
        <f>IF(G531="","",E531*G531)</f>
        <v/>
      </c>
      <c r="I531" s="11" t="str">
        <f>HYPERLINK("https://optomposuda.ru/product/tarelka-novogodnyaya-elka-24-sm-krasnaya-s-serebrom","открыть")</f>
        <v>открыть</v>
      </c>
    </row>
    <row r="532" spans="1:9" x14ac:dyDescent="0.25">
      <c r="A532" t="s">
        <v>2795</v>
      </c>
      <c r="B532" t="s">
        <v>2796</v>
      </c>
      <c r="C532" t="s">
        <v>1751</v>
      </c>
      <c r="D532" s="8">
        <v>8</v>
      </c>
      <c r="E532" s="9">
        <v>354.26</v>
      </c>
      <c r="F532" s="8">
        <v>220</v>
      </c>
      <c r="G532" s="10"/>
      <c r="H532" s="9" t="str">
        <f>IF(G532="","",E532*G532)</f>
        <v/>
      </c>
      <c r="I532" s="11" t="str">
        <f>HYPERLINK("https://optomposuda.ru/product/tarelka-peysli-antracit-21sm-15792-1","открыть")</f>
        <v>открыть</v>
      </c>
    </row>
    <row r="533" spans="1:9" x14ac:dyDescent="0.25">
      <c r="A533" t="s">
        <v>2797</v>
      </c>
      <c r="B533" t="s">
        <v>2798</v>
      </c>
      <c r="C533" t="s">
        <v>1751</v>
      </c>
      <c r="D533" s="8">
        <v>8</v>
      </c>
      <c r="E533" s="9">
        <v>332.84</v>
      </c>
      <c r="F533" s="8">
        <v>12</v>
      </c>
      <c r="G533" s="10"/>
      <c r="H533" s="9" t="str">
        <f>IF(G533="","",E533*G533)</f>
        <v/>
      </c>
      <c r="I533" s="11" t="str">
        <f>HYPERLINK("https://optomposuda.ru/product/tarelka-peysli-antracit-21sm-15792-1-120808","открыть")</f>
        <v>открыть</v>
      </c>
    </row>
    <row r="534" spans="1:9" x14ac:dyDescent="0.25">
      <c r="A534" t="s">
        <v>2799</v>
      </c>
      <c r="B534" t="s">
        <v>2800</v>
      </c>
      <c r="C534" t="s">
        <v>1751</v>
      </c>
      <c r="D534" s="8">
        <v>6</v>
      </c>
      <c r="E534" s="9">
        <v>639.94</v>
      </c>
      <c r="F534" s="8">
        <v>294</v>
      </c>
      <c r="G534" s="10"/>
      <c r="H534" s="9" t="str">
        <f>IF(G534="","",E534*G534)</f>
        <v/>
      </c>
      <c r="I534" s="11" t="str">
        <f>HYPERLINK("https://optomposuda.ru/product/tarelka-peysli-antracit-28sm-15793-1","открыть")</f>
        <v>открыть</v>
      </c>
    </row>
    <row r="535" spans="1:9" x14ac:dyDescent="0.25">
      <c r="A535" t="s">
        <v>2801</v>
      </c>
      <c r="B535" t="s">
        <v>2802</v>
      </c>
      <c r="C535" t="s">
        <v>1751</v>
      </c>
      <c r="D535" s="8">
        <v>6</v>
      </c>
      <c r="E535" s="9">
        <v>749.17</v>
      </c>
      <c r="F535" s="8">
        <v>171</v>
      </c>
      <c r="G535" s="10"/>
      <c r="H535" s="9" t="str">
        <f>IF(G535="","",E535*G535)</f>
        <v/>
      </c>
      <c r="I535" s="11" t="str">
        <f>HYPERLINK("https://optomposuda.ru/product/tarelka-peysli-antracit-32sm-15794-1","открыть")</f>
        <v>открыть</v>
      </c>
    </row>
    <row r="536" spans="1:9" x14ac:dyDescent="0.25">
      <c r="A536" t="s">
        <v>2803</v>
      </c>
      <c r="B536" t="s">
        <v>2804</v>
      </c>
      <c r="C536" t="s">
        <v>1751</v>
      </c>
      <c r="D536" s="8">
        <v>8</v>
      </c>
      <c r="E536" s="9">
        <v>286.63</v>
      </c>
      <c r="F536" s="8">
        <v>189</v>
      </c>
      <c r="G536" s="10"/>
      <c r="H536" s="9" t="str">
        <f>IF(G536="","",E536*G536)</f>
        <v/>
      </c>
      <c r="I536" s="11" t="str">
        <f>HYPERLINK("https://optomposuda.ru/product/tarelka-peysli-zoloto-21sm-15792-2","открыть")</f>
        <v>открыть</v>
      </c>
    </row>
    <row r="537" spans="1:9" x14ac:dyDescent="0.25">
      <c r="A537" t="s">
        <v>2805</v>
      </c>
      <c r="B537" t="s">
        <v>2806</v>
      </c>
      <c r="C537" t="s">
        <v>1751</v>
      </c>
      <c r="D537" s="8">
        <v>8</v>
      </c>
      <c r="E537" s="9">
        <v>251.14</v>
      </c>
      <c r="F537" s="8">
        <v>1</v>
      </c>
      <c r="G537" s="10"/>
      <c r="H537" s="9" t="str">
        <f>IF(G537="","",E537*G537)</f>
        <v/>
      </c>
      <c r="I537" s="11" t="str">
        <f>HYPERLINK("https://optomposuda.ru/product/tarelka-peysli-zoloto-21sm-15792-2-120811","открыть")</f>
        <v>открыть</v>
      </c>
    </row>
    <row r="538" spans="1:9" x14ac:dyDescent="0.25">
      <c r="A538" t="s">
        <v>2807</v>
      </c>
      <c r="B538" t="s">
        <v>2808</v>
      </c>
      <c r="C538" t="s">
        <v>1751</v>
      </c>
      <c r="D538" s="8">
        <v>6</v>
      </c>
      <c r="E538" s="9">
        <v>529.17</v>
      </c>
      <c r="F538" s="8">
        <v>202</v>
      </c>
      <c r="G538" s="10"/>
      <c r="H538" s="9" t="str">
        <f>IF(G538="","",E538*G538)</f>
        <v/>
      </c>
      <c r="I538" s="11" t="str">
        <f>HYPERLINK("https://optomposuda.ru/product/tarelka-peysli-zoloto-28sm-15793-2","открыть")</f>
        <v>открыть</v>
      </c>
    </row>
    <row r="539" spans="1:9" x14ac:dyDescent="0.25">
      <c r="A539" t="s">
        <v>2809</v>
      </c>
      <c r="B539" t="s">
        <v>2810</v>
      </c>
      <c r="C539" t="s">
        <v>1751</v>
      </c>
      <c r="D539" s="8">
        <v>6</v>
      </c>
      <c r="E539" s="9">
        <v>455.97</v>
      </c>
      <c r="F539" s="8">
        <v>55</v>
      </c>
      <c r="G539" s="10"/>
      <c r="H539" s="9" t="str">
        <f>IF(G539="","",E539*G539)</f>
        <v/>
      </c>
      <c r="I539" s="11" t="str">
        <f>HYPERLINK("https://optomposuda.ru/product/tarelka-peysli-zoloto-32sm-15794-2","открыть")</f>
        <v>открыть</v>
      </c>
    </row>
    <row r="540" spans="1:9" x14ac:dyDescent="0.25">
      <c r="A540" t="s">
        <v>2811</v>
      </c>
      <c r="B540" t="s">
        <v>2812</v>
      </c>
      <c r="C540" t="s">
        <v>1751</v>
      </c>
      <c r="D540" s="8">
        <v>6</v>
      </c>
      <c r="E540" s="9">
        <v>478.76</v>
      </c>
      <c r="F540" s="8">
        <v>1</v>
      </c>
      <c r="G540" s="10"/>
      <c r="H540" s="9" t="str">
        <f>IF(G540="","",E540*G540)</f>
        <v/>
      </c>
      <c r="I540" s="11" t="str">
        <f>HYPERLINK("https://optomposuda.ru/product/tarelka-peysli-zoloto-32sm-15794-2-120813","открыть")</f>
        <v>открыть</v>
      </c>
    </row>
    <row r="541" spans="1:9" x14ac:dyDescent="0.25">
      <c r="A541" t="s">
        <v>2813</v>
      </c>
      <c r="B541" t="s">
        <v>2814</v>
      </c>
      <c r="C541" t="s">
        <v>1751</v>
      </c>
      <c r="D541" s="8">
        <v>8</v>
      </c>
      <c r="E541" s="9">
        <v>282.93</v>
      </c>
      <c r="F541" s="8">
        <v>49</v>
      </c>
      <c r="G541" s="10"/>
      <c r="H541" s="9" t="str">
        <f>IF(G541="","",E541*G541)</f>
        <v/>
      </c>
      <c r="I541" s="11" t="str">
        <f>HYPERLINK("https://optomposuda.ru/product/tarelka-retro-briz-21sm-15881-v","открыть")</f>
        <v>открыть</v>
      </c>
    </row>
    <row r="542" spans="1:9" x14ac:dyDescent="0.25">
      <c r="A542" t="s">
        <v>2815</v>
      </c>
      <c r="B542" t="s">
        <v>2816</v>
      </c>
      <c r="C542" t="s">
        <v>1751</v>
      </c>
      <c r="D542" s="8">
        <v>6</v>
      </c>
      <c r="E542" s="9">
        <v>477.31</v>
      </c>
      <c r="F542" s="8">
        <v>231</v>
      </c>
      <c r="G542" s="10"/>
      <c r="H542" s="9" t="str">
        <f>IF(G542="","",E542*G542)</f>
        <v/>
      </c>
      <c r="I542" s="11" t="str">
        <f>HYPERLINK("https://optomposuda.ru/product/tarelka-retro-briz-28sm-15882-v","открыть")</f>
        <v>открыть</v>
      </c>
    </row>
    <row r="543" spans="1:9" x14ac:dyDescent="0.25">
      <c r="A543" t="s">
        <v>2817</v>
      </c>
      <c r="B543" t="s">
        <v>2818</v>
      </c>
      <c r="C543" t="s">
        <v>1751</v>
      </c>
      <c r="D543" s="8">
        <v>6</v>
      </c>
      <c r="E543" s="9">
        <v>600.42</v>
      </c>
      <c r="F543" s="8">
        <v>181</v>
      </c>
      <c r="G543" s="10"/>
      <c r="H543" s="9" t="str">
        <f>IF(G543="","",E543*G543)</f>
        <v/>
      </c>
      <c r="I543" s="11" t="str">
        <f>HYPERLINK("https://optomposuda.ru/product/tarelka-retro-briz-32sm-15883-v","открыть")</f>
        <v>открыть</v>
      </c>
    </row>
    <row r="544" spans="1:9" x14ac:dyDescent="0.25">
      <c r="A544" t="s">
        <v>2819</v>
      </c>
      <c r="B544" t="s">
        <v>2820</v>
      </c>
      <c r="C544" t="s">
        <v>1751</v>
      </c>
      <c r="D544" s="8">
        <v>8</v>
      </c>
      <c r="E544" s="9">
        <v>223.18</v>
      </c>
      <c r="F544" s="8">
        <v>255</v>
      </c>
      <c r="G544" s="10"/>
      <c r="H544" s="9" t="str">
        <f>IF(G544="","",E544*G544)</f>
        <v/>
      </c>
      <c r="I544" s="11" t="str">
        <f>HYPERLINK("https://optomposuda.ru/product/tarelka-retro-grey-21sm-15881-g","открыть")</f>
        <v>открыть</v>
      </c>
    </row>
    <row r="545" spans="1:9" x14ac:dyDescent="0.25">
      <c r="A545" t="s">
        <v>2821</v>
      </c>
      <c r="B545" t="s">
        <v>2822</v>
      </c>
      <c r="C545" t="s">
        <v>1751</v>
      </c>
      <c r="D545" s="8">
        <v>6</v>
      </c>
      <c r="E545" s="9">
        <v>363.63</v>
      </c>
      <c r="F545" s="8">
        <v>326</v>
      </c>
      <c r="G545" s="10"/>
      <c r="H545" s="9" t="str">
        <f>IF(G545="","",E545*G545)</f>
        <v/>
      </c>
      <c r="I545" s="11" t="str">
        <f>HYPERLINK("https://optomposuda.ru/product/tarelka-retro-grey-28sm-15882-g","открыть")</f>
        <v>открыть</v>
      </c>
    </row>
    <row r="546" spans="1:9" x14ac:dyDescent="0.25">
      <c r="A546" t="s">
        <v>2823</v>
      </c>
      <c r="B546" t="s">
        <v>2824</v>
      </c>
      <c r="C546" t="s">
        <v>1751</v>
      </c>
      <c r="D546" s="8">
        <v>6</v>
      </c>
      <c r="E546" s="9">
        <v>454.05</v>
      </c>
      <c r="F546" s="8">
        <v>321</v>
      </c>
      <c r="G546" s="10"/>
      <c r="H546" s="9" t="str">
        <f>IF(G546="","",E546*G546)</f>
        <v/>
      </c>
      <c r="I546" s="11" t="str">
        <f>HYPERLINK("https://optomposuda.ru/product/tarelka-retro-grey-32sm-15883-g","открыть")</f>
        <v>открыть</v>
      </c>
    </row>
    <row r="547" spans="1:9" x14ac:dyDescent="0.25">
      <c r="A547" t="s">
        <v>2825</v>
      </c>
      <c r="B547" t="s">
        <v>2826</v>
      </c>
      <c r="C547" t="s">
        <v>1751</v>
      </c>
      <c r="D547" s="8">
        <v>8</v>
      </c>
      <c r="E547" s="9">
        <v>223.18</v>
      </c>
      <c r="F547" s="8">
        <v>95</v>
      </c>
      <c r="G547" s="10"/>
      <c r="H547" s="9" t="str">
        <f>IF(G547="","",E547*G547)</f>
        <v/>
      </c>
      <c r="I547" s="11" t="str">
        <f>HYPERLINK("https://optomposuda.ru/product/tarelka-retro-pinky-21sm-15881-r","открыть")</f>
        <v>открыть</v>
      </c>
    </row>
    <row r="548" spans="1:9" x14ac:dyDescent="0.25">
      <c r="A548" t="s">
        <v>2827</v>
      </c>
      <c r="B548" t="s">
        <v>2828</v>
      </c>
      <c r="C548" t="s">
        <v>1751</v>
      </c>
      <c r="D548" s="8">
        <v>6</v>
      </c>
      <c r="E548" s="9">
        <v>363.63</v>
      </c>
      <c r="F548" s="8">
        <v>123</v>
      </c>
      <c r="G548" s="10"/>
      <c r="H548" s="9" t="str">
        <f>IF(G548="","",E548*G548)</f>
        <v/>
      </c>
      <c r="I548" s="11" t="str">
        <f>HYPERLINK("https://optomposuda.ru/product/tarelka-retro-pinky-28sm-15882-r","открыть")</f>
        <v>открыть</v>
      </c>
    </row>
    <row r="549" spans="1:9" x14ac:dyDescent="0.25">
      <c r="A549" t="s">
        <v>2829</v>
      </c>
      <c r="B549" t="s">
        <v>2830</v>
      </c>
      <c r="C549" t="s">
        <v>1751</v>
      </c>
      <c r="D549" s="8">
        <v>8</v>
      </c>
      <c r="E549" s="9">
        <v>435.11</v>
      </c>
      <c r="F549" s="8">
        <v>132</v>
      </c>
      <c r="G549" s="10"/>
      <c r="H549" s="9" t="str">
        <f>IF(G549="","",E549*G549)</f>
        <v/>
      </c>
      <c r="I549" s="11" t="str">
        <f>HYPERLINK("https://optomposuda.ru/product/tarelka-rivera-bronza-21sm-15737-2","открыть")</f>
        <v>открыть</v>
      </c>
    </row>
    <row r="550" spans="1:9" x14ac:dyDescent="0.25">
      <c r="A550" t="s">
        <v>2831</v>
      </c>
      <c r="B550" t="s">
        <v>2832</v>
      </c>
      <c r="C550" t="s">
        <v>1751</v>
      </c>
      <c r="D550" s="8">
        <v>6</v>
      </c>
      <c r="E550" s="9">
        <v>559.75</v>
      </c>
      <c r="F550" s="8">
        <v>171</v>
      </c>
      <c r="G550" s="10"/>
      <c r="H550" s="9" t="str">
        <f>IF(G550="","",E550*G550)</f>
        <v/>
      </c>
      <c r="I550" s="11" t="str">
        <f>HYPERLINK("https://optomposuda.ru/product/tarelka-rivera-bronza-28sm-15738-2","открыть")</f>
        <v>открыть</v>
      </c>
    </row>
    <row r="551" spans="1:9" x14ac:dyDescent="0.25">
      <c r="A551" t="s">
        <v>2833</v>
      </c>
      <c r="B551" t="s">
        <v>2834</v>
      </c>
      <c r="C551" t="s">
        <v>1751</v>
      </c>
      <c r="D551" s="8">
        <v>6</v>
      </c>
      <c r="E551" s="9">
        <v>760.24</v>
      </c>
      <c r="F551" s="8">
        <v>74</v>
      </c>
      <c r="G551" s="10"/>
      <c r="H551" s="9" t="str">
        <f>IF(G551="","",E551*G551)</f>
        <v/>
      </c>
      <c r="I551" s="11" t="str">
        <f>HYPERLINK("https://optomposuda.ru/product/tarelka-rivera-bronza-32sm-15739-2","открыть")</f>
        <v>открыть</v>
      </c>
    </row>
    <row r="552" spans="1:9" x14ac:dyDescent="0.25">
      <c r="A552" t="s">
        <v>2835</v>
      </c>
      <c r="B552" t="s">
        <v>2836</v>
      </c>
      <c r="C552" t="s">
        <v>1751</v>
      </c>
      <c r="D552" s="8">
        <v>8</v>
      </c>
      <c r="E552" s="9">
        <v>344.09</v>
      </c>
      <c r="F552" s="8">
        <v>248</v>
      </c>
      <c r="G552" s="10"/>
      <c r="H552" s="9" t="str">
        <f>IF(G552="","",E552*G552)</f>
        <v/>
      </c>
      <c r="I552" s="11" t="str">
        <f>HYPERLINK("https://optomposuda.ru/product/tarelka-rivera-zhemchug-21sm-15737-1","открыть")</f>
        <v>открыть</v>
      </c>
    </row>
    <row r="553" spans="1:9" x14ac:dyDescent="0.25">
      <c r="A553" t="s">
        <v>2837</v>
      </c>
      <c r="B553" t="s">
        <v>2838</v>
      </c>
      <c r="C553" t="s">
        <v>1751</v>
      </c>
      <c r="D553" s="8">
        <v>6</v>
      </c>
      <c r="E553" s="9">
        <v>595.31</v>
      </c>
      <c r="F553" s="8">
        <v>304</v>
      </c>
      <c r="G553" s="10"/>
      <c r="H553" s="9" t="str">
        <f>IF(G553="","",E553*G553)</f>
        <v/>
      </c>
      <c r="I553" s="11" t="str">
        <f>HYPERLINK("https://optomposuda.ru/product/tarelka-rivera-zhemchug-28sm-15738-1","открыть")</f>
        <v>открыть</v>
      </c>
    </row>
    <row r="554" spans="1:9" x14ac:dyDescent="0.25">
      <c r="A554" t="s">
        <v>2839</v>
      </c>
      <c r="B554" t="s">
        <v>2840</v>
      </c>
      <c r="C554" t="s">
        <v>1751</v>
      </c>
      <c r="D554" s="8">
        <v>6</v>
      </c>
      <c r="E554" s="9">
        <v>947.91</v>
      </c>
      <c r="F554" s="8">
        <v>71</v>
      </c>
      <c r="G554" s="10"/>
      <c r="H554" s="9" t="str">
        <f>IF(G554="","",E554*G554)</f>
        <v/>
      </c>
      <c r="I554" s="11" t="str">
        <f>HYPERLINK("https://optomposuda.ru/product/tarelka-rivera-zhemchug-32sm-15739-1","открыть")</f>
        <v>открыть</v>
      </c>
    </row>
    <row r="555" spans="1:9" x14ac:dyDescent="0.25">
      <c r="A555" t="s">
        <v>2841</v>
      </c>
      <c r="B555" t="s">
        <v>2842</v>
      </c>
      <c r="C555" t="s">
        <v>1751</v>
      </c>
      <c r="D555" s="8">
        <v>8</v>
      </c>
      <c r="E555" s="9">
        <v>410.9</v>
      </c>
      <c r="F555" s="8">
        <v>231</v>
      </c>
      <c r="G555" s="10"/>
      <c r="H555" s="9" t="str">
        <f>IF(G555="","",E555*G555)</f>
        <v/>
      </c>
      <c r="I555" s="11" t="str">
        <f>HYPERLINK("https://optomposuda.ru/product/tarelka-rozovyy-son-21-sm","открыть")</f>
        <v>открыть</v>
      </c>
    </row>
    <row r="556" spans="1:9" x14ac:dyDescent="0.25">
      <c r="A556" t="s">
        <v>2843</v>
      </c>
      <c r="B556" t="s">
        <v>2844</v>
      </c>
      <c r="C556" t="s">
        <v>1751</v>
      </c>
      <c r="D556" s="8">
        <v>6</v>
      </c>
      <c r="E556" s="9">
        <v>755.53</v>
      </c>
      <c r="F556" s="8">
        <v>237</v>
      </c>
      <c r="G556" s="10"/>
      <c r="H556" s="9" t="str">
        <f>IF(G556="","",E556*G556)</f>
        <v/>
      </c>
      <c r="I556" s="11" t="str">
        <f>HYPERLINK("https://optomposuda.ru/product/tarelka-rozovyy-son-28-sm","открыть")</f>
        <v>открыть</v>
      </c>
    </row>
    <row r="557" spans="1:9" x14ac:dyDescent="0.25">
      <c r="A557" t="s">
        <v>2845</v>
      </c>
      <c r="B557" t="s">
        <v>2846</v>
      </c>
      <c r="C557" t="s">
        <v>1751</v>
      </c>
      <c r="D557" s="8">
        <v>1</v>
      </c>
      <c r="E557" s="9">
        <v>259.76</v>
      </c>
      <c r="F557" s="8">
        <v>282</v>
      </c>
      <c r="G557" s="10"/>
      <c r="H557" s="9" t="str">
        <f>IF(G557="","",E557*G557)</f>
        <v/>
      </c>
      <c r="I557" s="11" t="str">
        <f>HYPERLINK("https://optomposuda.ru/product/tarelka-rozovyy-cvetok-21-sm-art-14094rr","открыть")</f>
        <v>открыть</v>
      </c>
    </row>
    <row r="558" spans="1:9" x14ac:dyDescent="0.25">
      <c r="A558" t="s">
        <v>2847</v>
      </c>
      <c r="B558" t="s">
        <v>2848</v>
      </c>
      <c r="C558" t="s">
        <v>1751</v>
      </c>
      <c r="D558" s="8">
        <v>1</v>
      </c>
      <c r="E558" s="9">
        <v>522.57</v>
      </c>
      <c r="F558" s="8">
        <v>80</v>
      </c>
      <c r="G558" s="10"/>
      <c r="H558" s="9" t="str">
        <f>IF(G558="","",E558*G558)</f>
        <v/>
      </c>
      <c r="I558" s="11" t="str">
        <f>HYPERLINK("https://optomposuda.ru/product/tarelka-rubin-28sm-kor-6sht-18784-2","открыть")</f>
        <v>открыть</v>
      </c>
    </row>
    <row r="559" spans="1:9" x14ac:dyDescent="0.25">
      <c r="A559" t="s">
        <v>2849</v>
      </c>
      <c r="B559" t="s">
        <v>2850</v>
      </c>
      <c r="C559" t="s">
        <v>1751</v>
      </c>
      <c r="D559" s="8">
        <v>1</v>
      </c>
      <c r="E559" s="9">
        <v>343.33</v>
      </c>
      <c r="F559" s="8">
        <v>290</v>
      </c>
      <c r="G559" s="10"/>
      <c r="H559" s="9" t="str">
        <f>IF(G559="","",E559*G559)</f>
        <v/>
      </c>
      <c r="I559" s="11" t="str">
        <f>HYPERLINK("https://optomposuda.ru/product/tarelka-severnaya-zvezda-21sm-bez-upakovki-kor-8sht-19130-1","открыть")</f>
        <v>открыть</v>
      </c>
    </row>
    <row r="560" spans="1:9" x14ac:dyDescent="0.25">
      <c r="A560" t="s">
        <v>2851</v>
      </c>
      <c r="B560" t="s">
        <v>2852</v>
      </c>
      <c r="C560" t="s">
        <v>1751</v>
      </c>
      <c r="D560" s="8">
        <v>1</v>
      </c>
      <c r="E560" s="9">
        <v>617.36</v>
      </c>
      <c r="F560" s="8">
        <v>295</v>
      </c>
      <c r="G560" s="10"/>
      <c r="H560" s="9" t="str">
        <f>IF(G560="","",E560*G560)</f>
        <v/>
      </c>
      <c r="I560" s="11" t="str">
        <f>HYPERLINK("https://optomposuda.ru/product/tarelka-severnaya-zvezda-28sm-kor-6sht-19131-1","открыть")</f>
        <v>открыть</v>
      </c>
    </row>
    <row r="561" spans="1:9" x14ac:dyDescent="0.25">
      <c r="A561" t="s">
        <v>2853</v>
      </c>
      <c r="B561" t="s">
        <v>2854</v>
      </c>
      <c r="C561" t="s">
        <v>1751</v>
      </c>
      <c r="D561" s="8">
        <v>1</v>
      </c>
      <c r="E561" s="9">
        <v>804.21</v>
      </c>
      <c r="F561" s="8">
        <v>329</v>
      </c>
      <c r="G561" s="10"/>
      <c r="H561" s="9" t="str">
        <f>IF(G561="","",E561*G561)</f>
        <v/>
      </c>
      <c r="I561" s="11" t="str">
        <f>HYPERLINK("https://optomposuda.ru/product/tarelka-severnaya-zvezda-33sm-kor-6sht-19132-1","открыть")</f>
        <v>открыть</v>
      </c>
    </row>
    <row r="562" spans="1:9" x14ac:dyDescent="0.25">
      <c r="A562" t="s">
        <v>2855</v>
      </c>
      <c r="B562" t="s">
        <v>2856</v>
      </c>
      <c r="C562" t="s">
        <v>1751</v>
      </c>
      <c r="D562" s="8">
        <v>6</v>
      </c>
      <c r="E562" s="9">
        <v>723.53</v>
      </c>
      <c r="F562" s="8">
        <v>1</v>
      </c>
      <c r="G562" s="10"/>
      <c r="H562" s="9" t="str">
        <f>IF(G562="","",E562*G562)</f>
        <v/>
      </c>
      <c r="I562" s="11" t="str">
        <f>HYPERLINK("https://optomposuda.ru/product/tarelka-serebryanoe-kopytce-32-sm-belaya","открыть")</f>
        <v>открыть</v>
      </c>
    </row>
    <row r="563" spans="1:9" x14ac:dyDescent="0.25">
      <c r="A563" t="s">
        <v>2857</v>
      </c>
      <c r="B563" t="s">
        <v>2858</v>
      </c>
      <c r="C563" t="s">
        <v>1751</v>
      </c>
      <c r="D563" s="8">
        <v>6</v>
      </c>
      <c r="E563" s="9">
        <v>821.56</v>
      </c>
      <c r="F563" s="8">
        <v>5</v>
      </c>
      <c r="G563" s="10"/>
      <c r="H563" s="9" t="str">
        <f>IF(G563="","",E563*G563)</f>
        <v/>
      </c>
      <c r="I563" s="11" t="str">
        <f>HYPERLINK("https://optomposuda.ru/product/tarelka-serebryanoe-kopytce-32-sm-krasnaya-нн000007651","открыть")</f>
        <v>открыть</v>
      </c>
    </row>
    <row r="564" spans="1:9" x14ac:dyDescent="0.25">
      <c r="A564" t="s">
        <v>2859</v>
      </c>
      <c r="B564" t="s">
        <v>2858</v>
      </c>
      <c r="C564" t="s">
        <v>1751</v>
      </c>
      <c r="D564" s="8">
        <v>6</v>
      </c>
      <c r="E564" s="9">
        <v>650.84</v>
      </c>
      <c r="F564" s="8">
        <v>72</v>
      </c>
      <c r="G564" s="10"/>
      <c r="H564" s="9" t="str">
        <f>IF(G564="","",E564*G564)</f>
        <v/>
      </c>
      <c r="I564" s="11" t="str">
        <f>HYPERLINK("https://optomposuda.ru/product/tarelka-serebryanoe-kopytce-32-sm-krasnaya","открыть")</f>
        <v>открыть</v>
      </c>
    </row>
    <row r="565" spans="1:9" x14ac:dyDescent="0.25">
      <c r="A565" t="s">
        <v>2860</v>
      </c>
      <c r="B565" t="s">
        <v>2861</v>
      </c>
      <c r="C565" t="s">
        <v>1751</v>
      </c>
      <c r="D565" s="8">
        <v>6</v>
      </c>
      <c r="E565" s="9">
        <v>650.84</v>
      </c>
      <c r="F565" s="8">
        <v>2</v>
      </c>
      <c r="G565" s="10"/>
      <c r="H565" s="9" t="str">
        <f>IF(G565="","",E565*G565)</f>
        <v/>
      </c>
      <c r="I565" s="11" t="str">
        <f>HYPERLINK("https://optomposuda.ru/product/tarelka-serebryanoe-kopytce-32-sm-sinyaya","открыть")</f>
        <v>открыть</v>
      </c>
    </row>
    <row r="566" spans="1:9" x14ac:dyDescent="0.25">
      <c r="A566" t="s">
        <v>2862</v>
      </c>
      <c r="B566" t="s">
        <v>2863</v>
      </c>
      <c r="C566" t="s">
        <v>1751</v>
      </c>
      <c r="D566" s="8">
        <v>8</v>
      </c>
      <c r="E566" s="9">
        <v>677.35</v>
      </c>
      <c r="F566" s="8">
        <v>139</v>
      </c>
      <c r="G566" s="10"/>
      <c r="H566" s="9" t="str">
        <f>IF(G566="","",E566*G566)</f>
        <v/>
      </c>
      <c r="I566" s="11" t="str">
        <f>HYPERLINK("https://optomposuda.ru/product/tarelka-serebryanoe-kruzhevo-21-sm","открыть")</f>
        <v>открыть</v>
      </c>
    </row>
    <row r="567" spans="1:9" x14ac:dyDescent="0.25">
      <c r="A567" t="s">
        <v>2864</v>
      </c>
      <c r="B567" t="s">
        <v>2865</v>
      </c>
      <c r="C567" t="s">
        <v>1751</v>
      </c>
      <c r="D567" s="8">
        <v>6</v>
      </c>
      <c r="E567" s="9">
        <v>1033.85</v>
      </c>
      <c r="F567" s="8">
        <v>114</v>
      </c>
      <c r="G567" s="10"/>
      <c r="H567" s="9" t="str">
        <f>IF(G567="","",E567*G567)</f>
        <v/>
      </c>
      <c r="I567" s="11" t="str">
        <f>HYPERLINK("https://optomposuda.ru/product/tarelka-serebryanoe-kruzhevo-28-sm-serebro","открыть")</f>
        <v>открыть</v>
      </c>
    </row>
    <row r="568" spans="1:9" x14ac:dyDescent="0.25">
      <c r="A568" t="s">
        <v>2866</v>
      </c>
      <c r="B568" t="s">
        <v>2867</v>
      </c>
      <c r="C568" t="s">
        <v>1751</v>
      </c>
      <c r="D568" s="8">
        <v>1</v>
      </c>
      <c r="E568" s="9">
        <v>638.25</v>
      </c>
      <c r="F568" s="8">
        <v>12</v>
      </c>
      <c r="G568" s="10"/>
      <c r="H568" s="9" t="str">
        <f>IF(G568="","",E568*G568)</f>
        <v/>
      </c>
      <c r="I568" s="11" t="str">
        <f>HYPERLINK("https://optomposuda.ru/product/tarelka-serebryanyy-tuman-32sm-kor-6sht-18862","открыть")</f>
        <v>открыть</v>
      </c>
    </row>
    <row r="569" spans="1:9" x14ac:dyDescent="0.25">
      <c r="A569" t="s">
        <v>2868</v>
      </c>
      <c r="B569" t="s">
        <v>2869</v>
      </c>
      <c r="C569" t="s">
        <v>1751</v>
      </c>
      <c r="D569" s="8">
        <v>1</v>
      </c>
      <c r="E569" s="9">
        <v>675.13</v>
      </c>
      <c r="F569" s="8">
        <v>222</v>
      </c>
      <c r="G569" s="10"/>
      <c r="H569" s="9" t="str">
        <f>IF(G569="","",E569*G569)</f>
        <v/>
      </c>
      <c r="I569" s="11" t="str">
        <f>HYPERLINK("https://optomposuda.ru/product/tarelka-siyanie-nochi-21-sm-kor-8-sht-16409","открыть")</f>
        <v>открыть</v>
      </c>
    </row>
    <row r="570" spans="1:9" x14ac:dyDescent="0.25">
      <c r="A570" t="s">
        <v>2870</v>
      </c>
      <c r="B570" t="s">
        <v>2871</v>
      </c>
      <c r="C570" t="s">
        <v>1751</v>
      </c>
      <c r="D570" s="8">
        <v>1</v>
      </c>
      <c r="E570" s="9">
        <v>1027.37</v>
      </c>
      <c r="F570" s="8">
        <v>117</v>
      </c>
      <c r="G570" s="10"/>
      <c r="H570" s="9" t="str">
        <f>IF(G570="","",E570*G570)</f>
        <v/>
      </c>
      <c r="I570" s="11" t="str">
        <f>HYPERLINK("https://optomposuda.ru/product/tarelka-siyanie-nochi-28-sm-kor-6-sht-16410","открыть")</f>
        <v>открыть</v>
      </c>
    </row>
    <row r="571" spans="1:9" x14ac:dyDescent="0.25">
      <c r="A571" t="s">
        <v>2872</v>
      </c>
      <c r="B571" t="s">
        <v>2873</v>
      </c>
      <c r="C571" t="s">
        <v>1751</v>
      </c>
      <c r="D571" s="8">
        <v>1</v>
      </c>
      <c r="E571" s="9">
        <v>1278.5</v>
      </c>
      <c r="F571" s="8">
        <v>118</v>
      </c>
      <c r="G571" s="10"/>
      <c r="H571" s="9" t="str">
        <f>IF(G571="","",E571*G571)</f>
        <v/>
      </c>
      <c r="I571" s="11" t="str">
        <f>HYPERLINK("https://optomposuda.ru/product/tarelka-siyanie-nochi-32-sm-kor-6-sht-16718","открыть")</f>
        <v>открыть</v>
      </c>
    </row>
    <row r="572" spans="1:9" x14ac:dyDescent="0.25">
      <c r="A572" t="s">
        <v>2874</v>
      </c>
      <c r="B572" t="s">
        <v>2875</v>
      </c>
      <c r="C572" t="s">
        <v>1751</v>
      </c>
      <c r="D572" s="8">
        <v>1</v>
      </c>
      <c r="E572" s="9">
        <v>675.13</v>
      </c>
      <c r="F572" s="8">
        <v>181</v>
      </c>
      <c r="G572" s="10"/>
      <c r="H572" s="9" t="str">
        <f>IF(G572="","",E572*G572)</f>
        <v/>
      </c>
      <c r="I572" s="11" t="str">
        <f>HYPERLINK("https://optomposuda.ru/product/tarelka-siyanie-nochi-serebro-21-sm-kor-6-sht-16409-s","открыть")</f>
        <v>открыть</v>
      </c>
    </row>
    <row r="573" spans="1:9" x14ac:dyDescent="0.25">
      <c r="A573" t="s">
        <v>2876</v>
      </c>
      <c r="B573" t="s">
        <v>2877</v>
      </c>
      <c r="C573" t="s">
        <v>1751</v>
      </c>
      <c r="D573" s="8">
        <v>1</v>
      </c>
      <c r="E573" s="9">
        <v>1027.37</v>
      </c>
      <c r="F573" s="8">
        <v>350</v>
      </c>
      <c r="G573" s="10"/>
      <c r="H573" s="9" t="str">
        <f>IF(G573="","",E573*G573)</f>
        <v/>
      </c>
      <c r="I573" s="11" t="str">
        <f>HYPERLINK("https://optomposuda.ru/product/tarelka-siyanie-nochi-serebro-28-sm-kor-6-sht-16410-s","открыть")</f>
        <v>открыть</v>
      </c>
    </row>
    <row r="574" spans="1:9" x14ac:dyDescent="0.25">
      <c r="A574" t="s">
        <v>2878</v>
      </c>
      <c r="B574" t="s">
        <v>2879</v>
      </c>
      <c r="C574" t="s">
        <v>1751</v>
      </c>
      <c r="D574" s="8">
        <v>1</v>
      </c>
      <c r="E574" s="9">
        <v>1278.5</v>
      </c>
      <c r="F574" s="8">
        <v>95</v>
      </c>
      <c r="G574" s="10"/>
      <c r="H574" s="9" t="str">
        <f>IF(G574="","",E574*G574)</f>
        <v/>
      </c>
      <c r="I574" s="11" t="str">
        <f>HYPERLINK("https://optomposuda.ru/product/tarelka-siyanie-nochi-serebro-32-sm-kor-6-sht-16718-s","открыть")</f>
        <v>открыть</v>
      </c>
    </row>
    <row r="575" spans="1:9" x14ac:dyDescent="0.25">
      <c r="A575" t="s">
        <v>2880</v>
      </c>
      <c r="B575" t="s">
        <v>2881</v>
      </c>
      <c r="C575" t="s">
        <v>1751</v>
      </c>
      <c r="D575" s="8">
        <v>8</v>
      </c>
      <c r="E575" s="9">
        <v>513.6</v>
      </c>
      <c r="F575" s="8">
        <v>209</v>
      </c>
      <c r="G575" s="10"/>
      <c r="H575" s="9" t="str">
        <f>IF(G575="","",E575*G575)</f>
        <v/>
      </c>
      <c r="I575" s="11" t="str">
        <f>HYPERLINK("https://optomposuda.ru/product/tarelka-snezhnye-uzory-21-sm-belaya","открыть")</f>
        <v>открыть</v>
      </c>
    </row>
    <row r="576" spans="1:9" x14ac:dyDescent="0.25">
      <c r="A576" t="s">
        <v>2882</v>
      </c>
      <c r="B576" t="s">
        <v>2883</v>
      </c>
      <c r="C576" t="s">
        <v>1751</v>
      </c>
      <c r="D576" s="8">
        <v>8</v>
      </c>
      <c r="E576" s="9">
        <v>513.6</v>
      </c>
      <c r="F576" s="8">
        <v>220</v>
      </c>
      <c r="G576" s="10"/>
      <c r="H576" s="9" t="str">
        <f>IF(G576="","",E576*G576)</f>
        <v/>
      </c>
      <c r="I576" s="11" t="str">
        <f>HYPERLINK("https://optomposuda.ru/product/tarelka-snezhnye-uzory-21-sm-krasnaya","открыть")</f>
        <v>открыть</v>
      </c>
    </row>
    <row r="577" spans="1:9" x14ac:dyDescent="0.25">
      <c r="A577" t="s">
        <v>2884</v>
      </c>
      <c r="B577" t="s">
        <v>2885</v>
      </c>
      <c r="C577" t="s">
        <v>1751</v>
      </c>
      <c r="D577" s="8">
        <v>6</v>
      </c>
      <c r="E577" s="9">
        <v>806.25</v>
      </c>
      <c r="F577" s="8">
        <v>188</v>
      </c>
      <c r="G577" s="10"/>
      <c r="H577" s="9" t="str">
        <f>IF(G577="","",E577*G577)</f>
        <v/>
      </c>
      <c r="I577" s="11" t="str">
        <f>HYPERLINK("https://optomposuda.ru/product/tarelka-snezhnye-uzory-28-sm-belaya","открыть")</f>
        <v>открыть</v>
      </c>
    </row>
    <row r="578" spans="1:9" x14ac:dyDescent="0.25">
      <c r="A578" t="s">
        <v>2886</v>
      </c>
      <c r="B578" t="s">
        <v>2887</v>
      </c>
      <c r="C578" t="s">
        <v>1751</v>
      </c>
      <c r="D578" s="8">
        <v>6</v>
      </c>
      <c r="E578" s="9">
        <v>806.25</v>
      </c>
      <c r="F578" s="8">
        <v>123</v>
      </c>
      <c r="G578" s="10"/>
      <c r="H578" s="9" t="str">
        <f>IF(G578="","",E578*G578)</f>
        <v/>
      </c>
      <c r="I578" s="11" t="str">
        <f>HYPERLINK("https://optomposuda.ru/product/tarelka-snezhnye-uzory-28-sm-krasnaya-нн000006959","открыть")</f>
        <v>открыть</v>
      </c>
    </row>
    <row r="579" spans="1:9" x14ac:dyDescent="0.25">
      <c r="A579" t="s">
        <v>2888</v>
      </c>
      <c r="B579" t="s">
        <v>2887</v>
      </c>
      <c r="C579" t="s">
        <v>1751</v>
      </c>
      <c r="D579" s="8">
        <v>8</v>
      </c>
      <c r="E579" s="9">
        <v>529.17</v>
      </c>
      <c r="F579" s="8">
        <v>2</v>
      </c>
      <c r="G579" s="10"/>
      <c r="H579" s="9" t="str">
        <f>IF(G579="","",E579*G579)</f>
        <v/>
      </c>
      <c r="I579" s="11" t="str">
        <f>HYPERLINK("https://optomposuda.ru/product/tarelka-snezhnye-uzory-28-sm-krasnaya","открыть")</f>
        <v>открыть</v>
      </c>
    </row>
    <row r="580" spans="1:9" x14ac:dyDescent="0.25">
      <c r="A580" t="s">
        <v>2889</v>
      </c>
      <c r="B580" t="s">
        <v>2890</v>
      </c>
      <c r="C580" t="s">
        <v>1751</v>
      </c>
      <c r="D580" s="8">
        <v>4</v>
      </c>
      <c r="E580" s="9">
        <v>634.98</v>
      </c>
      <c r="F580" s="8">
        <v>1</v>
      </c>
      <c r="G580" s="10"/>
      <c r="H580" s="9" t="str">
        <f>IF(G580="","",E580*G580)</f>
        <v/>
      </c>
      <c r="I580" s="11" t="str">
        <f>HYPERLINK("https://optomposuda.ru/product/tarelka-snezhnyy-vihr-28-sm-krasnaya","открыть")</f>
        <v>открыть</v>
      </c>
    </row>
    <row r="581" spans="1:9" x14ac:dyDescent="0.25">
      <c r="A581" t="s">
        <v>2891</v>
      </c>
      <c r="B581" t="s">
        <v>2892</v>
      </c>
      <c r="C581" t="s">
        <v>1751</v>
      </c>
      <c r="D581" s="8">
        <v>4</v>
      </c>
      <c r="E581" s="9">
        <v>861.75</v>
      </c>
      <c r="F581" s="8">
        <v>36</v>
      </c>
      <c r="G581" s="10"/>
      <c r="H581" s="9" t="str">
        <f>IF(G581="","",E581*G581)</f>
        <v/>
      </c>
      <c r="I581" s="11" t="str">
        <f>HYPERLINK("https://optomposuda.ru/product/tarelka-snezhnyy-vihr-32-sm-krasnaya","открыть")</f>
        <v>открыть</v>
      </c>
    </row>
    <row r="582" spans="1:9" x14ac:dyDescent="0.25">
      <c r="A582" t="s">
        <v>2893</v>
      </c>
      <c r="B582" t="s">
        <v>2894</v>
      </c>
      <c r="C582" t="s">
        <v>1751</v>
      </c>
      <c r="D582" s="8">
        <v>8</v>
      </c>
      <c r="E582" s="9">
        <v>344.27</v>
      </c>
      <c r="F582" s="8">
        <v>198</v>
      </c>
      <c r="G582" s="10"/>
      <c r="H582" s="9" t="str">
        <f>IF(G582="","",E582*G582)</f>
        <v/>
      </c>
      <c r="I582" s="11" t="str">
        <f>HYPERLINK("https://optomposuda.ru/product/tarelka-talisman-21-sm-bezhevaya-17856-s","открыть")</f>
        <v>открыть</v>
      </c>
    </row>
    <row r="583" spans="1:9" x14ac:dyDescent="0.25">
      <c r="A583" t="s">
        <v>2895</v>
      </c>
      <c r="B583" t="s">
        <v>2896</v>
      </c>
      <c r="C583" t="s">
        <v>1751</v>
      </c>
      <c r="D583" s="8">
        <v>8</v>
      </c>
      <c r="E583" s="9">
        <v>313.04</v>
      </c>
      <c r="F583" s="8">
        <v>107</v>
      </c>
      <c r="G583" s="10"/>
      <c r="H583" s="9" t="str">
        <f>IF(G583="","",E583*G583)</f>
        <v/>
      </c>
      <c r="I583" s="11" t="str">
        <f>HYPERLINK("https://optomposuda.ru/product/tarelka-talisman-21-sm-korichnevaya-17856-v","открыть")</f>
        <v>открыть</v>
      </c>
    </row>
    <row r="584" spans="1:9" x14ac:dyDescent="0.25">
      <c r="A584" t="s">
        <v>2897</v>
      </c>
      <c r="B584" t="s">
        <v>2898</v>
      </c>
      <c r="C584" t="s">
        <v>1751</v>
      </c>
      <c r="D584" s="8">
        <v>8</v>
      </c>
      <c r="E584" s="9">
        <v>356.59</v>
      </c>
      <c r="F584" s="8">
        <v>237</v>
      </c>
      <c r="G584" s="10"/>
      <c r="H584" s="9" t="str">
        <f>IF(G584="","",E584*G584)</f>
        <v/>
      </c>
      <c r="I584" s="11" t="str">
        <f>HYPERLINK("https://optomposuda.ru/product/tarelka-talisman-21-sm-krasnaya-17856-r","открыть")</f>
        <v>открыть</v>
      </c>
    </row>
    <row r="585" spans="1:9" x14ac:dyDescent="0.25">
      <c r="A585" t="s">
        <v>2899</v>
      </c>
      <c r="B585" t="s">
        <v>2900</v>
      </c>
      <c r="C585" t="s">
        <v>1751</v>
      </c>
      <c r="D585" s="8">
        <v>8</v>
      </c>
      <c r="E585" s="9">
        <v>382.4</v>
      </c>
      <c r="F585" s="8">
        <v>665</v>
      </c>
      <c r="G585" s="10"/>
      <c r="H585" s="9" t="str">
        <f>IF(G585="","",E585*G585)</f>
        <v/>
      </c>
      <c r="I585" s="11" t="str">
        <f>HYPERLINK("https://optomposuda.ru/product/tarelka-talisman-21-sm-sinyaya-17856-n","открыть")</f>
        <v>открыть</v>
      </c>
    </row>
    <row r="586" spans="1:9" x14ac:dyDescent="0.25">
      <c r="A586" t="s">
        <v>2901</v>
      </c>
      <c r="B586" t="s">
        <v>2902</v>
      </c>
      <c r="C586" t="s">
        <v>1751</v>
      </c>
      <c r="D586" s="8">
        <v>6</v>
      </c>
      <c r="E586" s="9">
        <v>573.78</v>
      </c>
      <c r="F586" s="8">
        <v>75</v>
      </c>
      <c r="G586" s="10"/>
      <c r="H586" s="9" t="str">
        <f>IF(G586="","",E586*G586)</f>
        <v/>
      </c>
      <c r="I586" s="11" t="str">
        <f>HYPERLINK("https://optomposuda.ru/product/tarelka-talisman-28-sm-bezhevaya-17857-s","открыть")</f>
        <v>открыть</v>
      </c>
    </row>
    <row r="587" spans="1:9" x14ac:dyDescent="0.25">
      <c r="A587" t="s">
        <v>2903</v>
      </c>
      <c r="B587" t="s">
        <v>2904</v>
      </c>
      <c r="C587" t="s">
        <v>1751</v>
      </c>
      <c r="D587" s="8">
        <v>6</v>
      </c>
      <c r="E587" s="9">
        <v>573.78</v>
      </c>
      <c r="F587" s="8">
        <v>114</v>
      </c>
      <c r="G587" s="10"/>
      <c r="H587" s="9" t="str">
        <f>IF(G587="","",E587*G587)</f>
        <v/>
      </c>
      <c r="I587" s="11" t="str">
        <f>HYPERLINK("https://optomposuda.ru/product/tarelka-talisman-28-sm-korichnevaya-17857-v","открыть")</f>
        <v>открыть</v>
      </c>
    </row>
    <row r="588" spans="1:9" x14ac:dyDescent="0.25">
      <c r="A588" t="s">
        <v>2905</v>
      </c>
      <c r="B588" t="s">
        <v>2906</v>
      </c>
      <c r="C588" t="s">
        <v>1751</v>
      </c>
      <c r="D588" s="8">
        <v>6</v>
      </c>
      <c r="E588" s="9">
        <v>634.88</v>
      </c>
      <c r="F588" s="8">
        <v>217</v>
      </c>
      <c r="G588" s="10"/>
      <c r="H588" s="9" t="str">
        <f>IF(G588="","",E588*G588)</f>
        <v/>
      </c>
      <c r="I588" s="11" t="str">
        <f>HYPERLINK("https://optomposuda.ru/product/tarelka-talisman-28-sm-krasnaya-17857-r","открыть")</f>
        <v>открыть</v>
      </c>
    </row>
    <row r="589" spans="1:9" x14ac:dyDescent="0.25">
      <c r="A589" t="s">
        <v>2907</v>
      </c>
      <c r="B589" t="s">
        <v>2908</v>
      </c>
      <c r="C589" t="s">
        <v>1751</v>
      </c>
      <c r="D589" s="8">
        <v>6</v>
      </c>
      <c r="E589" s="9">
        <v>529.22</v>
      </c>
      <c r="F589" s="8">
        <v>101</v>
      </c>
      <c r="G589" s="10"/>
      <c r="H589" s="9" t="str">
        <f>IF(G589="","",E589*G589)</f>
        <v/>
      </c>
      <c r="I589" s="11" t="str">
        <f>HYPERLINK("https://optomposuda.ru/product/tarelka-talisman-28-sm-sinyaya-17857-n","открыть")</f>
        <v>открыть</v>
      </c>
    </row>
    <row r="590" spans="1:9" x14ac:dyDescent="0.25">
      <c r="A590" t="s">
        <v>2909</v>
      </c>
      <c r="B590" t="s">
        <v>2910</v>
      </c>
      <c r="C590" t="s">
        <v>1751</v>
      </c>
      <c r="D590" s="8">
        <v>6</v>
      </c>
      <c r="E590" s="9">
        <v>943.49</v>
      </c>
      <c r="F590" s="8">
        <v>348</v>
      </c>
      <c r="G590" s="10"/>
      <c r="H590" s="9" t="str">
        <f>IF(G590="","",E590*G590)</f>
        <v/>
      </c>
      <c r="I590" s="11" t="str">
        <f>HYPERLINK("https://optomposuda.ru/product/tarelka-talisman-32-sm-bezhevaya-17285-s","открыть")</f>
        <v>открыть</v>
      </c>
    </row>
    <row r="591" spans="1:9" x14ac:dyDescent="0.25">
      <c r="A591" t="s">
        <v>2911</v>
      </c>
      <c r="B591" t="s">
        <v>2912</v>
      </c>
      <c r="C591" t="s">
        <v>1751</v>
      </c>
      <c r="D591" s="8">
        <v>6</v>
      </c>
      <c r="E591" s="9">
        <v>827.92</v>
      </c>
      <c r="F591" s="8">
        <v>339</v>
      </c>
      <c r="G591" s="10"/>
      <c r="H591" s="9" t="str">
        <f>IF(G591="","",E591*G591)</f>
        <v/>
      </c>
      <c r="I591" s="11" t="str">
        <f>HYPERLINK("https://optomposuda.ru/product/tarelka-talisman-32-sm-korichnevaya-17285-v","открыть")</f>
        <v>открыть</v>
      </c>
    </row>
    <row r="592" spans="1:9" x14ac:dyDescent="0.25">
      <c r="A592" t="s">
        <v>2913</v>
      </c>
      <c r="B592" t="s">
        <v>2914</v>
      </c>
      <c r="C592" t="s">
        <v>1751</v>
      </c>
      <c r="D592" s="8">
        <v>6</v>
      </c>
      <c r="E592" s="9">
        <v>827.92</v>
      </c>
      <c r="F592" s="8">
        <v>183</v>
      </c>
      <c r="G592" s="10"/>
      <c r="H592" s="9" t="str">
        <f>IF(G592="","",E592*G592)</f>
        <v/>
      </c>
      <c r="I592" s="11" t="str">
        <f>HYPERLINK("https://optomposuda.ru/product/tarelka-talisman-32-sm-krasnaya-17285-r","открыть")</f>
        <v>открыть</v>
      </c>
    </row>
    <row r="593" spans="1:9" x14ac:dyDescent="0.25">
      <c r="A593" t="s">
        <v>2915</v>
      </c>
      <c r="B593" t="s">
        <v>2916</v>
      </c>
      <c r="C593" t="s">
        <v>1751</v>
      </c>
      <c r="D593" s="8">
        <v>6</v>
      </c>
      <c r="E593" s="9">
        <v>827.92</v>
      </c>
      <c r="F593" s="8">
        <v>280</v>
      </c>
      <c r="G593" s="10"/>
      <c r="H593" s="9" t="str">
        <f>IF(G593="","",E593*G593)</f>
        <v/>
      </c>
      <c r="I593" s="11" t="str">
        <f>HYPERLINK("https://optomposuda.ru/product/tarelka-talisman-32-sm-sinyaya-17285-n","открыть")</f>
        <v>открыть</v>
      </c>
    </row>
    <row r="594" spans="1:9" x14ac:dyDescent="0.25">
      <c r="A594" t="s">
        <v>2917</v>
      </c>
      <c r="B594" t="s">
        <v>2918</v>
      </c>
      <c r="C594" t="s">
        <v>1751</v>
      </c>
      <c r="D594" s="8">
        <v>8</v>
      </c>
      <c r="E594" s="9">
        <v>410.9</v>
      </c>
      <c r="F594" s="8">
        <v>278</v>
      </c>
      <c r="G594" s="10"/>
      <c r="H594" s="9" t="str">
        <f>IF(G594="","",E594*G594)</f>
        <v/>
      </c>
      <c r="I594" s="11" t="str">
        <f>HYPERLINK("https://optomposuda.ru/product/tarelka-torzhestvo-21-sm-zoloto","открыть")</f>
        <v>открыть</v>
      </c>
    </row>
    <row r="595" spans="1:9" x14ac:dyDescent="0.25">
      <c r="A595" t="s">
        <v>2919</v>
      </c>
      <c r="B595" t="s">
        <v>2920</v>
      </c>
      <c r="C595" t="s">
        <v>1751</v>
      </c>
      <c r="D595" s="8">
        <v>8</v>
      </c>
      <c r="E595" s="9">
        <v>410.9</v>
      </c>
      <c r="F595" s="8">
        <v>283</v>
      </c>
      <c r="G595" s="10"/>
      <c r="H595" s="9" t="str">
        <f>IF(G595="","",E595*G595)</f>
        <v/>
      </c>
      <c r="I595" s="11" t="str">
        <f>HYPERLINK("https://optomposuda.ru/product/tarelka-torzhestvo-21-sm-serebro","открыть")</f>
        <v>открыть</v>
      </c>
    </row>
    <row r="596" spans="1:9" x14ac:dyDescent="0.25">
      <c r="A596" t="s">
        <v>2921</v>
      </c>
      <c r="B596" t="s">
        <v>2922</v>
      </c>
      <c r="C596" t="s">
        <v>1751</v>
      </c>
      <c r="D596" s="8">
        <v>6</v>
      </c>
      <c r="E596" s="9">
        <v>755.53</v>
      </c>
      <c r="F596" s="8">
        <v>281</v>
      </c>
      <c r="G596" s="10"/>
      <c r="H596" s="9" t="str">
        <f>IF(G596="","",E596*G596)</f>
        <v/>
      </c>
      <c r="I596" s="11" t="str">
        <f>HYPERLINK("https://optomposuda.ru/product/tarelka-torzhestvo-28-sm-zoloto","открыть")</f>
        <v>открыть</v>
      </c>
    </row>
    <row r="597" spans="1:9" x14ac:dyDescent="0.25">
      <c r="A597" t="s">
        <v>2923</v>
      </c>
      <c r="B597" t="s">
        <v>2924</v>
      </c>
      <c r="C597" t="s">
        <v>1751</v>
      </c>
      <c r="D597" s="8">
        <v>6</v>
      </c>
      <c r="E597" s="9">
        <v>755.53</v>
      </c>
      <c r="F597" s="8">
        <v>238</v>
      </c>
      <c r="G597" s="10"/>
      <c r="H597" s="9" t="str">
        <f>IF(G597="","",E597*G597)</f>
        <v/>
      </c>
      <c r="I597" s="11" t="str">
        <f>HYPERLINK("https://optomposuda.ru/product/tarelka-torzhestvo-28-sm-serebro","открыть")</f>
        <v>открыть</v>
      </c>
    </row>
    <row r="598" spans="1:9" x14ac:dyDescent="0.25">
      <c r="A598" t="s">
        <v>2925</v>
      </c>
      <c r="B598" t="s">
        <v>2926</v>
      </c>
      <c r="C598" t="s">
        <v>1751</v>
      </c>
      <c r="D598" s="8">
        <v>6</v>
      </c>
      <c r="E598" s="9">
        <v>1080.27</v>
      </c>
      <c r="F598" s="8">
        <v>276</v>
      </c>
      <c r="G598" s="10"/>
      <c r="H598" s="9" t="str">
        <f>IF(G598="","",E598*G598)</f>
        <v/>
      </c>
      <c r="I598" s="11" t="str">
        <f>HYPERLINK("https://optomposuda.ru/product/tarelka-torzhestvo-32-sm-zoloto","открыть")</f>
        <v>открыть</v>
      </c>
    </row>
    <row r="599" spans="1:9" x14ac:dyDescent="0.25">
      <c r="A599" t="s">
        <v>2927</v>
      </c>
      <c r="B599" t="s">
        <v>2928</v>
      </c>
      <c r="C599" t="s">
        <v>1751</v>
      </c>
      <c r="D599" s="8">
        <v>6</v>
      </c>
      <c r="E599" s="9">
        <v>1080.27</v>
      </c>
      <c r="F599" s="8">
        <v>283</v>
      </c>
      <c r="G599" s="10"/>
      <c r="H599" s="9" t="str">
        <f>IF(G599="","",E599*G599)</f>
        <v/>
      </c>
      <c r="I599" s="11" t="str">
        <f>HYPERLINK("https://optomposuda.ru/product/tarelka-torzhestvo-32-sm-serebro","открыть")</f>
        <v>открыть</v>
      </c>
    </row>
    <row r="600" spans="1:9" x14ac:dyDescent="0.25">
      <c r="A600" t="s">
        <v>2929</v>
      </c>
      <c r="B600" t="s">
        <v>2930</v>
      </c>
      <c r="C600" t="s">
        <v>1751</v>
      </c>
      <c r="D600" s="8">
        <v>8</v>
      </c>
      <c r="E600" s="9">
        <v>254.09</v>
      </c>
      <c r="F600" s="8">
        <v>150</v>
      </c>
      <c r="G600" s="10"/>
      <c r="H600" s="9" t="str">
        <f>IF(G600="","",E600*G600)</f>
        <v/>
      </c>
      <c r="I600" s="11" t="str">
        <f>HYPERLINK("https://optomposuda.ru/product/tarelka-utrenniy-bosfor-21sm-15902-g","открыть")</f>
        <v>открыть</v>
      </c>
    </row>
    <row r="601" spans="1:9" x14ac:dyDescent="0.25">
      <c r="A601" t="s">
        <v>2931</v>
      </c>
      <c r="B601" t="s">
        <v>2932</v>
      </c>
      <c r="C601" t="s">
        <v>1751</v>
      </c>
      <c r="D601" s="8">
        <v>6</v>
      </c>
      <c r="E601" s="9">
        <v>408.2</v>
      </c>
      <c r="F601" s="8">
        <v>229</v>
      </c>
      <c r="G601" s="10"/>
      <c r="H601" s="9" t="str">
        <f>IF(G601="","",E601*G601)</f>
        <v/>
      </c>
      <c r="I601" s="11" t="str">
        <f>HYPERLINK("https://optomposuda.ru/product/tarelka-utrenniy-bosfor-28sm-15903-g","открыть")</f>
        <v>открыть</v>
      </c>
    </row>
    <row r="602" spans="1:9" x14ac:dyDescent="0.25">
      <c r="A602" t="s">
        <v>2933</v>
      </c>
      <c r="B602" t="s">
        <v>2934</v>
      </c>
      <c r="C602" t="s">
        <v>1751</v>
      </c>
      <c r="D602" s="8">
        <v>6</v>
      </c>
      <c r="E602" s="9">
        <v>597.3</v>
      </c>
      <c r="F602" s="8">
        <v>178</v>
      </c>
      <c r="G602" s="10"/>
      <c r="H602" s="9" t="str">
        <f>IF(G602="","",E602*G602)</f>
        <v/>
      </c>
      <c r="I602" s="11" t="str">
        <f>HYPERLINK("https://optomposuda.ru/product/tarelka-utrenniy-bosfor-32sm-15904-g","открыть")</f>
        <v>открыть</v>
      </c>
    </row>
    <row r="603" spans="1:9" x14ac:dyDescent="0.25">
      <c r="A603" t="s">
        <v>2935</v>
      </c>
      <c r="B603" t="s">
        <v>2936</v>
      </c>
      <c r="C603" t="s">
        <v>1751</v>
      </c>
      <c r="D603" s="8">
        <v>8</v>
      </c>
      <c r="E603" s="9">
        <v>426.98</v>
      </c>
      <c r="F603" s="8">
        <v>423</v>
      </c>
      <c r="G603" s="10"/>
      <c r="H603" s="9" t="str">
        <f>IF(G603="","",E603*G603)</f>
        <v/>
      </c>
      <c r="I603" s="11" t="str">
        <f>HYPERLINK("https://optomposuda.ru/product/tarelka-feyerverk-21-sm-krasnyy","открыть")</f>
        <v>открыть</v>
      </c>
    </row>
    <row r="604" spans="1:9" x14ac:dyDescent="0.25">
      <c r="A604" t="s">
        <v>2937</v>
      </c>
      <c r="B604" t="s">
        <v>2938</v>
      </c>
      <c r="C604" t="s">
        <v>1751</v>
      </c>
      <c r="D604" s="8">
        <v>6</v>
      </c>
      <c r="E604" s="9">
        <v>460.6</v>
      </c>
      <c r="F604" s="8">
        <v>380</v>
      </c>
      <c r="G604" s="10"/>
      <c r="H604" s="9" t="str">
        <f>IF(G604="","",E604*G604)</f>
        <v/>
      </c>
      <c r="I604" s="11" t="str">
        <f>HYPERLINK("https://optomposuda.ru/product/tarelka-feyerverk-21-sm-siniy","открыть")</f>
        <v>открыть</v>
      </c>
    </row>
    <row r="605" spans="1:9" x14ac:dyDescent="0.25">
      <c r="A605" t="s">
        <v>2939</v>
      </c>
      <c r="B605" t="s">
        <v>2940</v>
      </c>
      <c r="C605" t="s">
        <v>1751</v>
      </c>
      <c r="D605" s="8">
        <v>6</v>
      </c>
      <c r="E605" s="9">
        <v>460.6</v>
      </c>
      <c r="F605" s="8">
        <v>267</v>
      </c>
      <c r="G605" s="10"/>
      <c r="H605" s="9" t="str">
        <f>IF(G605="","",E605*G605)</f>
        <v/>
      </c>
      <c r="I605" s="11" t="str">
        <f>HYPERLINK("https://optomposuda.ru/product/tarelka-feyerverk-21-sm-shampan","открыть")</f>
        <v>открыть</v>
      </c>
    </row>
    <row r="606" spans="1:9" x14ac:dyDescent="0.25">
      <c r="A606" t="s">
        <v>2941</v>
      </c>
      <c r="B606" t="s">
        <v>2942</v>
      </c>
      <c r="C606" t="s">
        <v>1751</v>
      </c>
      <c r="D606" s="8">
        <v>6</v>
      </c>
      <c r="E606" s="9">
        <v>734.39</v>
      </c>
      <c r="F606" s="8">
        <v>198</v>
      </c>
      <c r="G606" s="10"/>
      <c r="H606" s="9" t="str">
        <f>IF(G606="","",E606*G606)</f>
        <v/>
      </c>
      <c r="I606" s="11" t="str">
        <f>HYPERLINK("https://optomposuda.ru/product/tarelka-feyerverk-28-sm-krasnyy","открыть")</f>
        <v>открыть</v>
      </c>
    </row>
    <row r="607" spans="1:9" x14ac:dyDescent="0.25">
      <c r="A607" t="s">
        <v>2943</v>
      </c>
      <c r="B607" t="s">
        <v>2944</v>
      </c>
      <c r="C607" t="s">
        <v>1751</v>
      </c>
      <c r="D607" s="8">
        <v>6</v>
      </c>
      <c r="E607" s="9">
        <v>639.94</v>
      </c>
      <c r="F607" s="8">
        <v>249</v>
      </c>
      <c r="G607" s="10"/>
      <c r="H607" s="9" t="str">
        <f>IF(G607="","",E607*G607)</f>
        <v/>
      </c>
      <c r="I607" s="11" t="str">
        <f>HYPERLINK("https://optomposuda.ru/product/tarelka-feyerverk-28-sm-siniy","открыть")</f>
        <v>открыть</v>
      </c>
    </row>
    <row r="608" spans="1:9" x14ac:dyDescent="0.25">
      <c r="A608" t="s">
        <v>2945</v>
      </c>
      <c r="B608" t="s">
        <v>2946</v>
      </c>
      <c r="C608" t="s">
        <v>1751</v>
      </c>
      <c r="D608" s="8">
        <v>6</v>
      </c>
      <c r="E608" s="9">
        <v>794.29</v>
      </c>
      <c r="F608" s="8">
        <v>390</v>
      </c>
      <c r="G608" s="10"/>
      <c r="H608" s="9" t="str">
        <f>IF(G608="","",E608*G608)</f>
        <v/>
      </c>
      <c r="I608" s="11" t="str">
        <f>HYPERLINK("https://optomposuda.ru/product/tarelka-feyerverk-28-sm-shampan","открыть")</f>
        <v>открыть</v>
      </c>
    </row>
    <row r="609" spans="1:9" x14ac:dyDescent="0.25">
      <c r="A609" t="s">
        <v>2947</v>
      </c>
      <c r="B609" t="s">
        <v>2948</v>
      </c>
      <c r="C609" t="s">
        <v>1751</v>
      </c>
      <c r="D609" s="8">
        <v>8</v>
      </c>
      <c r="E609" s="9">
        <v>406.41</v>
      </c>
      <c r="F609" s="8">
        <v>19</v>
      </c>
      <c r="G609" s="10"/>
      <c r="H609" s="9" t="str">
        <f>IF(G609="","",E609*G609)</f>
        <v/>
      </c>
      <c r="I609" s="11" t="str">
        <f>HYPERLINK("https://optomposuda.ru/product/tarelka-fortuna-21-sm-serebro","открыть")</f>
        <v>открыть</v>
      </c>
    </row>
    <row r="610" spans="1:9" x14ac:dyDescent="0.25">
      <c r="A610" t="s">
        <v>2949</v>
      </c>
      <c r="B610" t="s">
        <v>2950</v>
      </c>
      <c r="C610" t="s">
        <v>1751</v>
      </c>
      <c r="D610" s="8">
        <v>6</v>
      </c>
      <c r="E610" s="9">
        <v>734.39</v>
      </c>
      <c r="F610" s="8">
        <v>44</v>
      </c>
      <c r="G610" s="10"/>
      <c r="H610" s="9" t="str">
        <f>IF(G610="","",E610*G610)</f>
        <v/>
      </c>
      <c r="I610" s="11" t="str">
        <f>HYPERLINK("https://optomposuda.ru/product/tarelka-fortuna-28-sm-zoloto","открыть")</f>
        <v>открыть</v>
      </c>
    </row>
    <row r="611" spans="1:9" x14ac:dyDescent="0.25">
      <c r="A611" t="s">
        <v>2951</v>
      </c>
      <c r="B611" t="s">
        <v>2952</v>
      </c>
      <c r="C611" t="s">
        <v>1751</v>
      </c>
      <c r="D611" s="8">
        <v>6</v>
      </c>
      <c r="E611" s="9">
        <v>734.39</v>
      </c>
      <c r="F611" s="8">
        <v>130</v>
      </c>
      <c r="G611" s="10"/>
      <c r="H611" s="9" t="str">
        <f>IF(G611="","",E611*G611)</f>
        <v/>
      </c>
      <c r="I611" s="11" t="str">
        <f>HYPERLINK("https://optomposuda.ru/product/tarelka-fortuna-28-sm-serebro","открыть")</f>
        <v>открыть</v>
      </c>
    </row>
    <row r="612" spans="1:9" x14ac:dyDescent="0.25">
      <c r="A612" t="s">
        <v>2953</v>
      </c>
      <c r="B612" t="s">
        <v>2954</v>
      </c>
      <c r="C612" t="s">
        <v>1751</v>
      </c>
      <c r="D612" s="8">
        <v>6</v>
      </c>
      <c r="E612" s="9">
        <v>1069.5</v>
      </c>
      <c r="F612" s="8">
        <v>270</v>
      </c>
      <c r="G612" s="10"/>
      <c r="H612" s="9" t="str">
        <f>IF(G612="","",E612*G612)</f>
        <v/>
      </c>
      <c r="I612" s="11" t="str">
        <f>HYPERLINK("https://optomposuda.ru/product/tarelka-fortuna-32-sm-zoloto","открыть")</f>
        <v>открыть</v>
      </c>
    </row>
    <row r="613" spans="1:9" x14ac:dyDescent="0.25">
      <c r="A613" t="s">
        <v>2955</v>
      </c>
      <c r="B613" t="s">
        <v>2956</v>
      </c>
      <c r="C613" t="s">
        <v>1751</v>
      </c>
      <c r="D613" s="8">
        <v>6</v>
      </c>
      <c r="E613" s="9">
        <v>1069.5</v>
      </c>
      <c r="F613" s="8">
        <v>62</v>
      </c>
      <c r="G613" s="10"/>
      <c r="H613" s="9" t="str">
        <f>IF(G613="","",E613*G613)</f>
        <v/>
      </c>
      <c r="I613" s="11" t="str">
        <f>HYPERLINK("https://optomposuda.ru/product/tarelka-fortuna-32-sm-serebro","открыть")</f>
        <v>открыть</v>
      </c>
    </row>
    <row r="614" spans="1:9" x14ac:dyDescent="0.25">
      <c r="A614" t="s">
        <v>2957</v>
      </c>
      <c r="B614" t="s">
        <v>2958</v>
      </c>
      <c r="C614" t="s">
        <v>1751</v>
      </c>
      <c r="D614" s="8">
        <v>1</v>
      </c>
      <c r="E614" s="9">
        <v>615.34</v>
      </c>
      <c r="F614" s="8">
        <v>5</v>
      </c>
      <c r="G614" s="10"/>
      <c r="H614" s="9" t="str">
        <f>IF(G614="","",E614*G614)</f>
        <v/>
      </c>
      <c r="I614" s="11" t="str">
        <f>HYPERLINK("https://optomposuda.ru/product/tarelka-hogvarts-28sm-bez-upakovki-kor-6sht-19668","открыть")</f>
        <v>открыть</v>
      </c>
    </row>
    <row r="615" spans="1:9" x14ac:dyDescent="0.25">
      <c r="A615" t="s">
        <v>2959</v>
      </c>
      <c r="B615" t="s">
        <v>2960</v>
      </c>
      <c r="C615" t="s">
        <v>1751</v>
      </c>
      <c r="D615" s="8">
        <v>1</v>
      </c>
      <c r="E615" s="9">
        <v>805.66</v>
      </c>
      <c r="F615" s="8">
        <v>10</v>
      </c>
      <c r="G615" s="10"/>
      <c r="H615" s="9" t="str">
        <f>IF(G615="","",E615*G615)</f>
        <v/>
      </c>
      <c r="I615" s="11" t="str">
        <f>HYPERLINK("https://optomposuda.ru/product/tarelka-hellouin-30sm-bez-upakovki-kor-4sht-17837","открыть")</f>
        <v>открыть</v>
      </c>
    </row>
    <row r="616" spans="1:9" x14ac:dyDescent="0.25">
      <c r="A616" t="s">
        <v>2961</v>
      </c>
      <c r="B616" t="s">
        <v>2962</v>
      </c>
      <c r="C616" t="s">
        <v>1751</v>
      </c>
      <c r="D616" s="8">
        <v>1</v>
      </c>
      <c r="E616" s="9">
        <v>328.89</v>
      </c>
      <c r="F616" s="8">
        <v>76</v>
      </c>
      <c r="G616" s="10"/>
      <c r="H616" s="9" t="str">
        <f>IF(G616="","",E616*G616)</f>
        <v/>
      </c>
      <c r="I616" s="11" t="str">
        <f>HYPERLINK("https://optomposuda.ru/product/tarelka-hyurrem-biryuza-21sm-kor-8sht-17169-1","открыть")</f>
        <v>открыть</v>
      </c>
    </row>
    <row r="617" spans="1:9" x14ac:dyDescent="0.25">
      <c r="A617" t="s">
        <v>2963</v>
      </c>
      <c r="B617" t="s">
        <v>2964</v>
      </c>
      <c r="C617" t="s">
        <v>1751</v>
      </c>
      <c r="D617" s="8">
        <v>8</v>
      </c>
      <c r="E617" s="9">
        <v>365.97</v>
      </c>
      <c r="F617" s="8">
        <v>84</v>
      </c>
      <c r="G617" s="10"/>
      <c r="H617" s="9" t="str">
        <f>IF(G617="","",E617*G617)</f>
        <v/>
      </c>
      <c r="I617" s="11" t="str">
        <f>HYPERLINK("https://optomposuda.ru/product/tarelka-eleonora-bronza-21sm-15722-2","открыть")</f>
        <v>открыть</v>
      </c>
    </row>
    <row r="618" spans="1:9" x14ac:dyDescent="0.25">
      <c r="A618" t="s">
        <v>2965</v>
      </c>
      <c r="B618" t="s">
        <v>2966</v>
      </c>
      <c r="C618" t="s">
        <v>1751</v>
      </c>
      <c r="D618" s="8">
        <v>6</v>
      </c>
      <c r="E618" s="9">
        <v>559.75</v>
      </c>
      <c r="F618" s="8">
        <v>154</v>
      </c>
      <c r="G618" s="10"/>
      <c r="H618" s="9" t="str">
        <f>IF(G618="","",E618*G618)</f>
        <v/>
      </c>
      <c r="I618" s="11" t="str">
        <f>HYPERLINK("https://optomposuda.ru/product/tarelka-eleonora-bronza-28sm-15723-2","открыть")</f>
        <v>открыть</v>
      </c>
    </row>
    <row r="619" spans="1:9" x14ac:dyDescent="0.25">
      <c r="A619" t="s">
        <v>2967</v>
      </c>
      <c r="B619" t="s">
        <v>2968</v>
      </c>
      <c r="C619" t="s">
        <v>1751</v>
      </c>
      <c r="D619" s="8">
        <v>6</v>
      </c>
      <c r="E619" s="9">
        <v>749.17</v>
      </c>
      <c r="F619" s="8">
        <v>185</v>
      </c>
      <c r="G619" s="10"/>
      <c r="H619" s="9" t="str">
        <f>IF(G619="","",E619*G619)</f>
        <v/>
      </c>
      <c r="I619" s="11" t="str">
        <f>HYPERLINK("https://optomposuda.ru/product/tarelka-eleonora-bronza-32sm-15724-2","открыть")</f>
        <v>открыть</v>
      </c>
    </row>
    <row r="620" spans="1:9" x14ac:dyDescent="0.25">
      <c r="A620" t="s">
        <v>2969</v>
      </c>
      <c r="B620" t="s">
        <v>2970</v>
      </c>
      <c r="C620" t="s">
        <v>1751</v>
      </c>
      <c r="D620" s="8">
        <v>8</v>
      </c>
      <c r="E620" s="9">
        <v>435.11</v>
      </c>
      <c r="F620" s="8">
        <v>51</v>
      </c>
      <c r="G620" s="10"/>
      <c r="H620" s="9" t="str">
        <f>IF(G620="","",E620*G620)</f>
        <v/>
      </c>
      <c r="I620" s="11" t="str">
        <f>HYPERLINK("https://optomposuda.ru/product/tarelka-eleonora-patina-21sm-15722-1","открыть")</f>
        <v>открыть</v>
      </c>
    </row>
    <row r="621" spans="1:9" x14ac:dyDescent="0.25">
      <c r="A621" t="s">
        <v>2971</v>
      </c>
      <c r="B621" t="s">
        <v>2972</v>
      </c>
      <c r="C621" t="s">
        <v>1751</v>
      </c>
      <c r="D621" s="8">
        <v>6</v>
      </c>
      <c r="E621" s="9">
        <v>754.78</v>
      </c>
      <c r="F621" s="8">
        <v>76</v>
      </c>
      <c r="G621" s="10"/>
      <c r="H621" s="9" t="str">
        <f>IF(G621="","",E621*G621)</f>
        <v/>
      </c>
      <c r="I621" s="11" t="str">
        <f>HYPERLINK("https://optomposuda.ru/product/tarelka-eleonora-patina-28sm-15723-1","открыть")</f>
        <v>открыть</v>
      </c>
    </row>
    <row r="622" spans="1:9" x14ac:dyDescent="0.25">
      <c r="A622" t="s">
        <v>2973</v>
      </c>
      <c r="B622" t="s">
        <v>2974</v>
      </c>
      <c r="C622" t="s">
        <v>1751</v>
      </c>
      <c r="D622" s="8">
        <v>6</v>
      </c>
      <c r="E622" s="9">
        <v>749.17</v>
      </c>
      <c r="F622" s="8">
        <v>2</v>
      </c>
      <c r="G622" s="10"/>
      <c r="H622" s="9" t="str">
        <f>IF(G622="","",E622*G622)</f>
        <v/>
      </c>
      <c r="I622" s="11" t="str">
        <f>HYPERLINK("https://optomposuda.ru/product/tarelka-eleonora-patina-32sm-15724-1","открыть")</f>
        <v>открыть</v>
      </c>
    </row>
    <row r="623" spans="1:9" x14ac:dyDescent="0.25">
      <c r="A623" t="s">
        <v>2975</v>
      </c>
      <c r="B623" t="s">
        <v>2976</v>
      </c>
      <c r="C623" t="s">
        <v>1751</v>
      </c>
      <c r="D623" s="8">
        <v>8</v>
      </c>
      <c r="E623" s="9">
        <v>354.01</v>
      </c>
      <c r="F623" s="8">
        <v>100</v>
      </c>
      <c r="G623" s="10"/>
      <c r="H623" s="9" t="str">
        <f>IF(G623="","",E623*G623)</f>
        <v/>
      </c>
      <c r="I623" s="11" t="str">
        <f>HYPERLINK("https://optomposuda.ru/product/tarelka-elis-21-sm-alyy","открыть")</f>
        <v>открыть</v>
      </c>
    </row>
    <row r="624" spans="1:9" x14ac:dyDescent="0.25">
      <c r="A624" t="s">
        <v>2977</v>
      </c>
      <c r="B624" t="s">
        <v>2978</v>
      </c>
      <c r="C624" t="s">
        <v>1751</v>
      </c>
      <c r="D624" s="8">
        <v>8</v>
      </c>
      <c r="E624" s="9">
        <v>354.01</v>
      </c>
      <c r="F624" s="8">
        <v>1</v>
      </c>
      <c r="G624" s="10"/>
      <c r="H624" s="9" t="str">
        <f>IF(G624="","",E624*G624)</f>
        <v/>
      </c>
      <c r="I624" s="11" t="str">
        <f>HYPERLINK("https://optomposuda.ru/product/tarelka-elis-21-sm-platina","открыть")</f>
        <v>открыть</v>
      </c>
    </row>
    <row r="625" spans="1:9" x14ac:dyDescent="0.25">
      <c r="A625" t="s">
        <v>2979</v>
      </c>
      <c r="B625" t="s">
        <v>2980</v>
      </c>
      <c r="C625" t="s">
        <v>1751</v>
      </c>
      <c r="D625" s="8">
        <v>6</v>
      </c>
      <c r="E625" s="9">
        <v>556.02</v>
      </c>
      <c r="F625" s="8">
        <v>365</v>
      </c>
      <c r="G625" s="10"/>
      <c r="H625" s="9" t="str">
        <f>IF(G625="","",E625*G625)</f>
        <v/>
      </c>
      <c r="I625" s="11" t="str">
        <f>HYPERLINK("https://optomposuda.ru/product/tarelka-elis-28-sm-alyy","открыть")</f>
        <v>открыть</v>
      </c>
    </row>
    <row r="626" spans="1:9" x14ac:dyDescent="0.25">
      <c r="A626" t="s">
        <v>2981</v>
      </c>
      <c r="B626" t="s">
        <v>2982</v>
      </c>
      <c r="C626" t="s">
        <v>1751</v>
      </c>
      <c r="D626" s="8">
        <v>6</v>
      </c>
      <c r="E626" s="9">
        <v>556.02</v>
      </c>
      <c r="F626" s="8">
        <v>451</v>
      </c>
      <c r="G626" s="10"/>
      <c r="H626" s="9" t="str">
        <f>IF(G626="","",E626*G626)</f>
        <v/>
      </c>
      <c r="I626" s="11" t="str">
        <f>HYPERLINK("https://optomposuda.ru/product/tarelka-elis-28-sm-zoloto","открыть")</f>
        <v>открыть</v>
      </c>
    </row>
    <row r="627" spans="1:9" x14ac:dyDescent="0.25">
      <c r="A627" t="s">
        <v>2983</v>
      </c>
      <c r="B627" t="s">
        <v>2984</v>
      </c>
      <c r="C627" t="s">
        <v>1751</v>
      </c>
      <c r="D627" s="8">
        <v>6</v>
      </c>
      <c r="E627" s="9">
        <v>556.02</v>
      </c>
      <c r="F627" s="8">
        <v>354</v>
      </c>
      <c r="G627" s="10"/>
      <c r="H627" s="9" t="str">
        <f>IF(G627="","",E627*G627)</f>
        <v/>
      </c>
      <c r="I627" s="11" t="str">
        <f>HYPERLINK("https://optomposuda.ru/product/tarelka-elis-28-sm-platina","открыть")</f>
        <v>открыть</v>
      </c>
    </row>
    <row r="628" spans="1:9" x14ac:dyDescent="0.25">
      <c r="A628" t="s">
        <v>2985</v>
      </c>
      <c r="B628" t="s">
        <v>2986</v>
      </c>
      <c r="C628" t="s">
        <v>1751</v>
      </c>
      <c r="D628" s="8">
        <v>6</v>
      </c>
      <c r="E628" s="9">
        <v>748.41</v>
      </c>
      <c r="F628" s="8">
        <v>1</v>
      </c>
      <c r="G628" s="10"/>
      <c r="H628" s="9" t="str">
        <f>IF(G628="","",E628*G628)</f>
        <v/>
      </c>
      <c r="I628" s="11" t="str">
        <f>HYPERLINK("https://optomposuda.ru/product/tarelka-elis-32-sm-alyy","открыть")</f>
        <v>открыть</v>
      </c>
    </row>
    <row r="629" spans="1:9" x14ac:dyDescent="0.25">
      <c r="A629" t="s">
        <v>2987</v>
      </c>
      <c r="B629" t="s">
        <v>2988</v>
      </c>
      <c r="C629" t="s">
        <v>1751</v>
      </c>
      <c r="D629" s="8">
        <v>6</v>
      </c>
      <c r="E629" s="9">
        <v>748.41</v>
      </c>
      <c r="F629" s="8">
        <v>30</v>
      </c>
      <c r="G629" s="10"/>
      <c r="H629" s="9" t="str">
        <f>IF(G629="","",E629*G629)</f>
        <v/>
      </c>
      <c r="I629" s="11" t="str">
        <f>HYPERLINK("https://optomposuda.ru/product/tarelka-elis-32-sm-zoloto","открыть")</f>
        <v>открыть</v>
      </c>
    </row>
    <row r="630" spans="1:9" x14ac:dyDescent="0.25">
      <c r="A630" t="s">
        <v>2989</v>
      </c>
      <c r="B630" t="s">
        <v>2990</v>
      </c>
      <c r="C630" t="s">
        <v>1751</v>
      </c>
      <c r="D630" s="8">
        <v>6</v>
      </c>
      <c r="E630" s="9">
        <v>748.41</v>
      </c>
      <c r="F630" s="8">
        <v>66</v>
      </c>
      <c r="G630" s="10"/>
      <c r="H630" s="9" t="str">
        <f>IF(G630="","",E630*G630)</f>
        <v/>
      </c>
      <c r="I630" s="11" t="str">
        <f>HYPERLINK("https://optomposuda.ru/product/tarelka-elis-32-sm-platina","открыть")</f>
        <v>открыть</v>
      </c>
    </row>
    <row r="631" spans="1:9" x14ac:dyDescent="0.25">
      <c r="A631" t="s">
        <v>2991</v>
      </c>
      <c r="B631" t="s">
        <v>2992</v>
      </c>
      <c r="C631" t="s">
        <v>1751</v>
      </c>
      <c r="D631" s="8">
        <v>8</v>
      </c>
      <c r="E631" s="9">
        <v>364.02</v>
      </c>
      <c r="F631" s="8">
        <v>288</v>
      </c>
      <c r="G631" s="10"/>
      <c r="H631" s="9" t="str">
        <f>IF(G631="","",E631*G631)</f>
        <v/>
      </c>
      <c r="I631" s="11" t="str">
        <f>HYPERLINK("https://optomposuda.ru/product/tarelka-armoni-a-marrone-21-sm","открыть")</f>
        <v>открыть</v>
      </c>
    </row>
    <row r="632" spans="1:9" x14ac:dyDescent="0.25">
      <c r="A632" t="s">
        <v>2993</v>
      </c>
      <c r="B632" t="s">
        <v>2994</v>
      </c>
      <c r="C632" t="s">
        <v>1751</v>
      </c>
      <c r="D632" s="8">
        <v>6</v>
      </c>
      <c r="E632" s="9">
        <v>617.36</v>
      </c>
      <c r="F632" s="8">
        <v>333</v>
      </c>
      <c r="G632" s="10"/>
      <c r="H632" s="9" t="str">
        <f>IF(G632="","",E632*G632)</f>
        <v/>
      </c>
      <c r="I632" s="11" t="str">
        <f>HYPERLINK("https://optomposuda.ru/product/tarelka-armoni-a-marrone-28-sm","открыть")</f>
        <v>открыть</v>
      </c>
    </row>
    <row r="633" spans="1:9" x14ac:dyDescent="0.25">
      <c r="A633" t="s">
        <v>2995</v>
      </c>
      <c r="B633" t="s">
        <v>2996</v>
      </c>
      <c r="C633" t="s">
        <v>1751</v>
      </c>
      <c r="D633" s="8">
        <v>8</v>
      </c>
      <c r="E633" s="9">
        <v>364.02</v>
      </c>
      <c r="F633" s="8">
        <v>308</v>
      </c>
      <c r="G633" s="10"/>
      <c r="H633" s="9" t="str">
        <f>IF(G633="","",E633*G633)</f>
        <v/>
      </c>
      <c r="I633" s="11" t="str">
        <f>HYPERLINK("https://optomposuda.ru/product/tarelka-armonia-rosa-21-sm","открыть")</f>
        <v>открыть</v>
      </c>
    </row>
    <row r="634" spans="1:9" x14ac:dyDescent="0.25">
      <c r="A634" t="s">
        <v>2997</v>
      </c>
      <c r="B634" t="s">
        <v>2998</v>
      </c>
      <c r="C634" t="s">
        <v>1751</v>
      </c>
      <c r="D634" s="8">
        <v>6</v>
      </c>
      <c r="E634" s="9">
        <v>617.36</v>
      </c>
      <c r="F634" s="8">
        <v>346</v>
      </c>
      <c r="G634" s="10"/>
      <c r="H634" s="9" t="str">
        <f>IF(G634="","",E634*G634)</f>
        <v/>
      </c>
      <c r="I634" s="11" t="str">
        <f>HYPERLINK("https://optomposuda.ru/product/tarelka-armonia-rosa-28-sm","открыть")</f>
        <v>открыть</v>
      </c>
    </row>
    <row r="635" spans="1:9" x14ac:dyDescent="0.25">
      <c r="A635" t="s">
        <v>2999</v>
      </c>
      <c r="B635" t="s">
        <v>3000</v>
      </c>
      <c r="C635" t="s">
        <v>1751</v>
      </c>
      <c r="D635" s="8">
        <v>5</v>
      </c>
      <c r="E635" s="9">
        <v>116.25</v>
      </c>
      <c r="F635" s="8">
        <v>10</v>
      </c>
      <c r="G635" s="10"/>
      <c r="H635" s="9" t="str">
        <f>IF(G635="","",E635*G635)</f>
        <v/>
      </c>
      <c r="I635" s="11" t="str">
        <f>HYPERLINK("https://optomposuda.ru/product/tarelka-diamond-32-sm","открыть")</f>
        <v>открыть</v>
      </c>
    </row>
    <row r="636" spans="1:9" x14ac:dyDescent="0.25">
      <c r="A636" t="s">
        <v>3001</v>
      </c>
      <c r="B636" t="s">
        <v>3002</v>
      </c>
      <c r="C636" t="s">
        <v>1751</v>
      </c>
      <c r="D636" s="8">
        <v>8</v>
      </c>
      <c r="E636" s="9">
        <v>541.77</v>
      </c>
      <c r="F636" s="8">
        <v>326</v>
      </c>
      <c r="G636" s="10"/>
      <c r="H636" s="9" t="str">
        <f>IF(G636="","",E636*G636)</f>
        <v/>
      </c>
      <c r="I636" s="11" t="str">
        <f>HYPERLINK("https://optomposuda.ru/product/tarelka-inspiration-green-21cm-16467-1","открыть")</f>
        <v>открыть</v>
      </c>
    </row>
    <row r="637" spans="1:9" x14ac:dyDescent="0.25">
      <c r="A637" t="s">
        <v>3003</v>
      </c>
      <c r="B637" t="s">
        <v>3004</v>
      </c>
      <c r="C637" t="s">
        <v>1751</v>
      </c>
      <c r="D637" s="8">
        <v>6</v>
      </c>
      <c r="E637" s="9">
        <v>837.85</v>
      </c>
      <c r="F637" s="8">
        <v>186</v>
      </c>
      <c r="G637" s="10"/>
      <c r="H637" s="9" t="str">
        <f>IF(G637="","",E637*G637)</f>
        <v/>
      </c>
      <c r="I637" s="11" t="str">
        <f>HYPERLINK("https://optomposuda.ru/product/tarelka-inspiration-green-28cm-16468-1","открыть")</f>
        <v>открыть</v>
      </c>
    </row>
    <row r="638" spans="1:9" x14ac:dyDescent="0.25">
      <c r="A638" t="s">
        <v>3005</v>
      </c>
      <c r="B638" t="s">
        <v>3006</v>
      </c>
      <c r="C638" t="s">
        <v>1751</v>
      </c>
      <c r="D638" s="8">
        <v>6</v>
      </c>
      <c r="E638" s="9">
        <v>525.64</v>
      </c>
      <c r="F638" s="8">
        <v>366</v>
      </c>
      <c r="G638" s="10"/>
      <c r="H638" s="9" t="str">
        <f>IF(G638="","",E638*G638)</f>
        <v/>
      </c>
      <c r="I638" s="11" t="str">
        <f>HYPERLINK("https://optomposuda.ru/product/tarelka-inspiration-21cm-16467-339-058","открыть")</f>
        <v>открыть</v>
      </c>
    </row>
    <row r="639" spans="1:9" x14ac:dyDescent="0.25">
      <c r="A639" t="s">
        <v>3007</v>
      </c>
      <c r="B639" t="s">
        <v>3008</v>
      </c>
      <c r="C639" t="s">
        <v>1751</v>
      </c>
      <c r="D639" s="8">
        <v>6</v>
      </c>
      <c r="E639" s="9">
        <v>783.41</v>
      </c>
      <c r="F639" s="8">
        <v>258</v>
      </c>
      <c r="G639" s="10"/>
      <c r="H639" s="9" t="str">
        <f>IF(G639="","",E639*G639)</f>
        <v/>
      </c>
      <c r="I639" s="11" t="str">
        <f>HYPERLINK("https://optomposuda.ru/product/tarelka-inspiration-28cm-16468-339-059","открыть")</f>
        <v>открыть</v>
      </c>
    </row>
    <row r="640" spans="1:9" x14ac:dyDescent="0.25">
      <c r="A640" t="s">
        <v>3009</v>
      </c>
      <c r="B640" t="s">
        <v>3010</v>
      </c>
      <c r="C640" t="s">
        <v>1751</v>
      </c>
      <c r="D640" s="8">
        <v>24</v>
      </c>
      <c r="E640" s="9">
        <v>171.14</v>
      </c>
      <c r="F640" s="8">
        <v>85</v>
      </c>
      <c r="G640" s="10"/>
      <c r="H640" s="9" t="str">
        <f>IF(G640="","",E640*G640)</f>
        <v/>
      </c>
      <c r="I640" s="11" t="str">
        <f>HYPERLINK("https://optomposuda.ru/product/tarelka-16-sm-marseille","открыть")</f>
        <v>открыть</v>
      </c>
    </row>
    <row r="641" spans="1:9" x14ac:dyDescent="0.25">
      <c r="A641" t="s">
        <v>3011</v>
      </c>
      <c r="B641" t="s">
        <v>3012</v>
      </c>
      <c r="C641" t="s">
        <v>1751</v>
      </c>
      <c r="D641" s="8">
        <v>6</v>
      </c>
      <c r="E641" s="9">
        <v>273.2</v>
      </c>
      <c r="F641" s="8">
        <v>6</v>
      </c>
      <c r="G641" s="10"/>
      <c r="H641" s="9" t="str">
        <f>IF(G641="","",E641*G641)</f>
        <v/>
      </c>
      <c r="I641" s="11" t="str">
        <f>HYPERLINK("https://optomposuda.ru/product/tarelka-16-sm-s-vysokim-bortom-victoria-nero","открыть")</f>
        <v>открыть</v>
      </c>
    </row>
    <row r="642" spans="1:9" x14ac:dyDescent="0.25">
      <c r="A642" t="s">
        <v>3013</v>
      </c>
      <c r="B642" t="s">
        <v>3014</v>
      </c>
      <c r="C642" t="s">
        <v>1751</v>
      </c>
      <c r="D642" s="8">
        <v>8</v>
      </c>
      <c r="E642" s="9">
        <v>329.27</v>
      </c>
      <c r="F642" s="8">
        <v>125</v>
      </c>
      <c r="G642" s="10"/>
      <c r="H642" s="9" t="str">
        <f>IF(G642="","",E642*G642)</f>
        <v/>
      </c>
      <c r="I642" s="11" t="str">
        <f>HYPERLINK("https://optomposuda.ru/product/tarelka-21-sm-agava","открыть")</f>
        <v>открыть</v>
      </c>
    </row>
    <row r="643" spans="1:9" x14ac:dyDescent="0.25">
      <c r="A643" t="s">
        <v>3015</v>
      </c>
      <c r="B643" t="s">
        <v>3016</v>
      </c>
      <c r="C643" t="s">
        <v>1751</v>
      </c>
      <c r="D643" s="8">
        <v>8</v>
      </c>
      <c r="E643" s="9">
        <v>336.66</v>
      </c>
      <c r="F643" s="8">
        <v>223</v>
      </c>
      <c r="G643" s="10"/>
      <c r="H643" s="9" t="str">
        <f>IF(G643="","",E643*G643)</f>
        <v/>
      </c>
      <c r="I643" s="11" t="str">
        <f>HYPERLINK("https://optomposuda.ru/product/tarelka-21-sm-akvarel-biryuza","открыть")</f>
        <v>открыть</v>
      </c>
    </row>
    <row r="644" spans="1:9" x14ac:dyDescent="0.25">
      <c r="A644" t="s">
        <v>3017</v>
      </c>
      <c r="B644" t="s">
        <v>3018</v>
      </c>
      <c r="C644" t="s">
        <v>1751</v>
      </c>
      <c r="D644" s="8">
        <v>8</v>
      </c>
      <c r="E644" s="9">
        <v>300.36</v>
      </c>
      <c r="F644" s="8">
        <v>70</v>
      </c>
      <c r="G644" s="10"/>
      <c r="H644" s="9" t="str">
        <f>IF(G644="","",E644*G644)</f>
        <v/>
      </c>
      <c r="I644" s="11" t="str">
        <f>HYPERLINK("https://optomposuda.ru/product/tarelka-21-sm-akvarel-zolotoy-pesok","открыть")</f>
        <v>открыть</v>
      </c>
    </row>
    <row r="645" spans="1:9" x14ac:dyDescent="0.25">
      <c r="A645" t="s">
        <v>3019</v>
      </c>
      <c r="B645" t="s">
        <v>3020</v>
      </c>
      <c r="C645" t="s">
        <v>1751</v>
      </c>
      <c r="D645" s="8">
        <v>8</v>
      </c>
      <c r="E645" s="9">
        <v>300.36</v>
      </c>
      <c r="F645" s="8">
        <v>254</v>
      </c>
      <c r="G645" s="10"/>
      <c r="H645" s="9" t="str">
        <f>IF(G645="","",E645*G645)</f>
        <v/>
      </c>
      <c r="I645" s="11" t="str">
        <f>HYPERLINK("https://optomposuda.ru/product/tarelka-21-sm-akvarel-roza","открыть")</f>
        <v>открыть</v>
      </c>
    </row>
    <row r="646" spans="1:9" x14ac:dyDescent="0.25">
      <c r="A646" t="s">
        <v>3021</v>
      </c>
      <c r="B646" t="s">
        <v>3022</v>
      </c>
      <c r="C646" t="s">
        <v>1751</v>
      </c>
      <c r="D646" s="8">
        <v>8</v>
      </c>
      <c r="E646" s="9">
        <v>730.88</v>
      </c>
      <c r="F646" s="8">
        <v>279</v>
      </c>
      <c r="G646" s="10"/>
      <c r="H646" s="9" t="str">
        <f>IF(G646="","",E646*G646)</f>
        <v/>
      </c>
      <c r="I646" s="11" t="str">
        <f>HYPERLINK("https://optomposuda.ru/product/tarelka-21-sm-gelios","открыть")</f>
        <v>открыть</v>
      </c>
    </row>
    <row r="647" spans="1:9" x14ac:dyDescent="0.25">
      <c r="A647" t="s">
        <v>3023</v>
      </c>
      <c r="B647" t="s">
        <v>3024</v>
      </c>
      <c r="C647" t="s">
        <v>1751</v>
      </c>
      <c r="D647" s="8">
        <v>8</v>
      </c>
      <c r="E647" s="9">
        <v>316.13</v>
      </c>
      <c r="F647" s="8">
        <v>363</v>
      </c>
      <c r="G647" s="10"/>
      <c r="H647" s="9" t="str">
        <f>IF(G647="","",E647*G647)</f>
        <v/>
      </c>
      <c r="I647" s="11" t="str">
        <f>HYPERLINK("https://optomposuda.ru/product/tarelka-21-sm-divo","открыть")</f>
        <v>открыть</v>
      </c>
    </row>
    <row r="648" spans="1:9" x14ac:dyDescent="0.25">
      <c r="A648" t="s">
        <v>3025</v>
      </c>
      <c r="B648" t="s">
        <v>3026</v>
      </c>
      <c r="C648" t="s">
        <v>1751</v>
      </c>
      <c r="D648" s="8">
        <v>12</v>
      </c>
      <c r="E648" s="9">
        <v>282.24</v>
      </c>
      <c r="F648" s="8">
        <v>18</v>
      </c>
      <c r="G648" s="10"/>
      <c r="H648" s="9" t="str">
        <f>IF(G648="","",E648*G648)</f>
        <v/>
      </c>
      <c r="I648" s="11" t="str">
        <f>HYPERLINK("https://optomposuda.ru/product/tarelka-21-sm-kraski-oseni-krasnaya-19625-r","открыть")</f>
        <v>открыть</v>
      </c>
    </row>
    <row r="649" spans="1:9" x14ac:dyDescent="0.25">
      <c r="A649" t="s">
        <v>3027</v>
      </c>
      <c r="B649" t="s">
        <v>3028</v>
      </c>
      <c r="C649" t="s">
        <v>1751</v>
      </c>
      <c r="D649" s="8">
        <v>12</v>
      </c>
      <c r="E649" s="9">
        <v>338.02</v>
      </c>
      <c r="F649" s="8">
        <v>166</v>
      </c>
      <c r="G649" s="10"/>
      <c r="H649" s="9" t="str">
        <f>IF(G649="","",E649*G649)</f>
        <v/>
      </c>
      <c r="I649" s="11" t="str">
        <f>HYPERLINK("https://optomposuda.ru/product/tarelka-21-sm-kraski-oseni-yantar-19625-v","открыть")</f>
        <v>открыть</v>
      </c>
    </row>
    <row r="650" spans="1:9" x14ac:dyDescent="0.25">
      <c r="A650" t="s">
        <v>3029</v>
      </c>
      <c r="B650" t="s">
        <v>3030</v>
      </c>
      <c r="C650" t="s">
        <v>1751</v>
      </c>
      <c r="D650" s="8">
        <v>12</v>
      </c>
      <c r="E650" s="9">
        <v>338.02</v>
      </c>
      <c r="F650" s="8">
        <v>252</v>
      </c>
      <c r="G650" s="10"/>
      <c r="H650" s="9" t="str">
        <f>IF(G650="","",E650*G650)</f>
        <v/>
      </c>
      <c r="I650" s="11" t="str">
        <f>HYPERLINK("https://optomposuda.ru/product/tarelka-21-sm-kraski-oseni-green-19625-g","открыть")</f>
        <v>открыть</v>
      </c>
    </row>
    <row r="651" spans="1:9" x14ac:dyDescent="0.25">
      <c r="A651" t="s">
        <v>3031</v>
      </c>
      <c r="B651" t="s">
        <v>3032</v>
      </c>
      <c r="C651" t="s">
        <v>1751</v>
      </c>
      <c r="D651" s="8">
        <v>8</v>
      </c>
      <c r="E651" s="9">
        <v>286.98</v>
      </c>
      <c r="F651" s="8">
        <v>170</v>
      </c>
      <c r="G651" s="10"/>
      <c r="H651" s="9" t="str">
        <f>IF(G651="","",E651*G651)</f>
        <v/>
      </c>
      <c r="I651" s="11" t="str">
        <f>HYPERLINK("https://optomposuda.ru/product/tarelka-21-sm-lepestki-v-rose","открыть")</f>
        <v>открыть</v>
      </c>
    </row>
    <row r="652" spans="1:9" x14ac:dyDescent="0.25">
      <c r="A652" t="s">
        <v>3033</v>
      </c>
      <c r="B652" t="s">
        <v>3034</v>
      </c>
      <c r="C652" t="s">
        <v>1751</v>
      </c>
      <c r="D652" s="8">
        <v>8</v>
      </c>
      <c r="E652" s="9">
        <v>409.27</v>
      </c>
      <c r="F652" s="8">
        <v>119</v>
      </c>
      <c r="G652" s="10"/>
      <c r="H652" s="9" t="str">
        <f>IF(G652="","",E652*G652)</f>
        <v/>
      </c>
      <c r="I652" s="11" t="str">
        <f>HYPERLINK("https://optomposuda.ru/product/tarelka-21-sm-lorien","открыть")</f>
        <v>открыть</v>
      </c>
    </row>
    <row r="653" spans="1:9" x14ac:dyDescent="0.25">
      <c r="A653" t="s">
        <v>3035</v>
      </c>
      <c r="B653" t="s">
        <v>3036</v>
      </c>
      <c r="C653" t="s">
        <v>1751</v>
      </c>
      <c r="D653" s="8">
        <v>8</v>
      </c>
      <c r="E653" s="9">
        <v>812.08</v>
      </c>
      <c r="F653" s="8">
        <v>212</v>
      </c>
      <c r="G653" s="10"/>
      <c r="H653" s="9" t="str">
        <f>IF(G653="","",E653*G653)</f>
        <v/>
      </c>
      <c r="I653" s="11" t="str">
        <f>HYPERLINK("https://optomposuda.ru/product/tarelka-21-sm-lunnyy-svet","открыть")</f>
        <v>открыть</v>
      </c>
    </row>
    <row r="654" spans="1:9" x14ac:dyDescent="0.25">
      <c r="A654" t="s">
        <v>3037</v>
      </c>
      <c r="B654" t="s">
        <v>3038</v>
      </c>
      <c r="C654" t="s">
        <v>1751</v>
      </c>
      <c r="D654" s="8">
        <v>8</v>
      </c>
      <c r="E654" s="9">
        <v>592.08</v>
      </c>
      <c r="F654" s="8">
        <v>138</v>
      </c>
      <c r="G654" s="10"/>
      <c r="H654" s="9" t="str">
        <f>IF(G654="","",E654*G654)</f>
        <v/>
      </c>
      <c r="I654" s="11" t="str">
        <f>HYPERLINK("https://optomposuda.ru/product/tarelka-21-sm-olivkovaya-roscha","открыть")</f>
        <v>открыть</v>
      </c>
    </row>
    <row r="655" spans="1:9" x14ac:dyDescent="0.25">
      <c r="A655" t="s">
        <v>3039</v>
      </c>
      <c r="B655" t="s">
        <v>3040</v>
      </c>
      <c r="C655" t="s">
        <v>1751</v>
      </c>
      <c r="D655" s="8">
        <v>8</v>
      </c>
      <c r="E655" s="9">
        <v>592.08</v>
      </c>
      <c r="F655" s="8">
        <v>198</v>
      </c>
      <c r="G655" s="10"/>
      <c r="H655" s="9" t="str">
        <f>IF(G655="","",E655*G655)</f>
        <v/>
      </c>
      <c r="I655" s="11" t="str">
        <f>HYPERLINK("https://optomposuda.ru/product/tarelka-21-sm-olivkovaya-roscha-zelenaya","открыть")</f>
        <v>открыть</v>
      </c>
    </row>
    <row r="656" spans="1:9" x14ac:dyDescent="0.25">
      <c r="A656" t="s">
        <v>3041</v>
      </c>
      <c r="B656" t="s">
        <v>3042</v>
      </c>
      <c r="C656" t="s">
        <v>1751</v>
      </c>
      <c r="D656" s="8">
        <v>12</v>
      </c>
      <c r="E656" s="9">
        <v>390.79</v>
      </c>
      <c r="F656" s="8">
        <v>84</v>
      </c>
      <c r="G656" s="10"/>
      <c r="H656" s="9" t="str">
        <f>IF(G656="","",E656*G656)</f>
        <v/>
      </c>
      <c r="I656" s="11" t="str">
        <f>HYPERLINK("https://optomposuda.ru/product/tarelka-21-sm-osenniy-vals-15484-v","открыть")</f>
        <v>открыть</v>
      </c>
    </row>
    <row r="657" spans="1:9" x14ac:dyDescent="0.25">
      <c r="A657" t="s">
        <v>3043</v>
      </c>
      <c r="B657" t="s">
        <v>3044</v>
      </c>
      <c r="C657" t="s">
        <v>1751</v>
      </c>
      <c r="D657" s="8">
        <v>8</v>
      </c>
      <c r="E657" s="9">
        <v>275.53</v>
      </c>
      <c r="F657" s="8">
        <v>224</v>
      </c>
      <c r="G657" s="10"/>
      <c r="H657" s="9" t="str">
        <f>IF(G657="","",E657*G657)</f>
        <v/>
      </c>
      <c r="I657" s="11" t="str">
        <f>HYPERLINK("https://optomposuda.ru/product/tarelka-21-sm-solnce","открыть")</f>
        <v>открыть</v>
      </c>
    </row>
    <row r="658" spans="1:9" x14ac:dyDescent="0.25">
      <c r="A658" t="s">
        <v>3045</v>
      </c>
      <c r="B658" t="s">
        <v>3046</v>
      </c>
      <c r="C658" t="s">
        <v>1751</v>
      </c>
      <c r="D658" s="8">
        <v>8</v>
      </c>
      <c r="E658" s="9">
        <v>333.11</v>
      </c>
      <c r="F658" s="8">
        <v>392</v>
      </c>
      <c r="G658" s="10"/>
      <c r="H658" s="9" t="str">
        <f>IF(G658="","",E658*G658)</f>
        <v/>
      </c>
      <c r="I658" s="11" t="str">
        <f>HYPERLINK("https://optomposuda.ru/product/tarelka-21-sm-ellada","открыть")</f>
        <v>открыть</v>
      </c>
    </row>
    <row r="659" spans="1:9" x14ac:dyDescent="0.25">
      <c r="A659" t="s">
        <v>3047</v>
      </c>
      <c r="B659" t="s">
        <v>3048</v>
      </c>
      <c r="C659" t="s">
        <v>1751</v>
      </c>
      <c r="D659" s="8">
        <v>8</v>
      </c>
      <c r="E659" s="9">
        <v>507.55</v>
      </c>
      <c r="F659" s="8">
        <v>164</v>
      </c>
      <c r="G659" s="10"/>
      <c r="H659" s="9" t="str">
        <f>IF(G659="","",E659*G659)</f>
        <v/>
      </c>
      <c r="I659" s="11" t="str">
        <f>HYPERLINK("https://optomposuda.ru/product/tarelka-21-sm-aurora","открыть")</f>
        <v>открыть</v>
      </c>
    </row>
    <row r="660" spans="1:9" x14ac:dyDescent="0.25">
      <c r="A660" t="s">
        <v>3049</v>
      </c>
      <c r="B660" t="s">
        <v>3050</v>
      </c>
      <c r="C660" t="s">
        <v>1751</v>
      </c>
      <c r="D660" s="8">
        <v>1</v>
      </c>
      <c r="E660" s="9">
        <v>226.15</v>
      </c>
      <c r="F660" s="8">
        <v>412</v>
      </c>
      <c r="G660" s="10"/>
      <c r="H660" s="9" t="str">
        <f>IF(G660="","",E660*G660)</f>
        <v/>
      </c>
      <c r="I660" s="11" t="str">
        <f>HYPERLINK("https://optomposuda.ru/product/tarelka-21-sm-diamond-art-19755","открыть")</f>
        <v>открыть</v>
      </c>
    </row>
    <row r="661" spans="1:9" x14ac:dyDescent="0.25">
      <c r="A661" t="s">
        <v>3051</v>
      </c>
      <c r="B661" t="s">
        <v>3052</v>
      </c>
      <c r="C661" t="s">
        <v>1751</v>
      </c>
      <c r="D661" s="8">
        <v>12</v>
      </c>
      <c r="E661" s="9">
        <v>384.59</v>
      </c>
      <c r="F661" s="8">
        <v>196</v>
      </c>
      <c r="G661" s="10"/>
      <c r="H661" s="9" t="str">
        <f>IF(G661="","",E661*G661)</f>
        <v/>
      </c>
      <c r="I661" s="11" t="str">
        <f>HYPERLINK("https://optomposuda.ru/product/tarelka-21-sm-inspiration-amber-16467-v","открыть")</f>
        <v>открыть</v>
      </c>
    </row>
    <row r="662" spans="1:9" x14ac:dyDescent="0.25">
      <c r="A662" t="s">
        <v>3053</v>
      </c>
      <c r="B662" t="s">
        <v>3054</v>
      </c>
      <c r="C662" t="s">
        <v>1751</v>
      </c>
      <c r="D662" s="8">
        <v>8</v>
      </c>
      <c r="E662" s="9">
        <v>223.54</v>
      </c>
      <c r="F662" s="8">
        <v>68</v>
      </c>
      <c r="G662" s="10"/>
      <c r="H662" s="9" t="str">
        <f>IF(G662="","",E662*G662)</f>
        <v/>
      </c>
      <c r="I662" s="11" t="str">
        <f>HYPERLINK("https://optomposuda.ru/product/tarelka-21-sm-izmir","открыть")</f>
        <v>открыть</v>
      </c>
    </row>
    <row r="663" spans="1:9" x14ac:dyDescent="0.25">
      <c r="A663" t="s">
        <v>3055</v>
      </c>
      <c r="B663" t="s">
        <v>3056</v>
      </c>
      <c r="C663" t="s">
        <v>1751</v>
      </c>
      <c r="D663" s="8">
        <v>8</v>
      </c>
      <c r="E663" s="9">
        <v>223.54</v>
      </c>
      <c r="F663" s="8">
        <v>255</v>
      </c>
      <c r="G663" s="10"/>
      <c r="H663" s="9" t="str">
        <f>IF(G663="","",E663*G663)</f>
        <v/>
      </c>
      <c r="I663" s="11" t="str">
        <f>HYPERLINK("https://optomposuda.ru/product/tarelka-21-sm-marseille","открыть")</f>
        <v>открыть</v>
      </c>
    </row>
    <row r="664" spans="1:9" x14ac:dyDescent="0.25">
      <c r="A664" t="s">
        <v>3057</v>
      </c>
      <c r="B664" t="s">
        <v>3058</v>
      </c>
      <c r="C664" t="s">
        <v>1751</v>
      </c>
      <c r="D664" s="8">
        <v>8</v>
      </c>
      <c r="E664" s="9">
        <v>507.55</v>
      </c>
      <c r="F664" s="8">
        <v>153</v>
      </c>
      <c r="G664" s="10"/>
      <c r="H664" s="9" t="str">
        <f>IF(G664="","",E664*G664)</f>
        <v/>
      </c>
      <c r="I664" s="11" t="str">
        <f>HYPERLINK("https://optomposuda.ru/product/tarelka-21-sm-north-wind","открыть")</f>
        <v>открыть</v>
      </c>
    </row>
    <row r="665" spans="1:9" x14ac:dyDescent="0.25">
      <c r="A665" t="s">
        <v>3059</v>
      </c>
      <c r="B665" t="s">
        <v>3060</v>
      </c>
      <c r="C665" t="s">
        <v>1751</v>
      </c>
      <c r="D665" s="8">
        <v>8</v>
      </c>
      <c r="E665" s="9">
        <v>223.54</v>
      </c>
      <c r="F665" s="8">
        <v>134</v>
      </c>
      <c r="G665" s="10"/>
      <c r="H665" s="9" t="str">
        <f>IF(G665="","",E665*G665)</f>
        <v/>
      </c>
      <c r="I665" s="11" t="str">
        <f>HYPERLINK("https://optomposuda.ru/product/tarelka-21-sm-rio","открыть")</f>
        <v>открыть</v>
      </c>
    </row>
    <row r="666" spans="1:9" x14ac:dyDescent="0.25">
      <c r="A666" t="s">
        <v>3061</v>
      </c>
      <c r="B666" t="s">
        <v>3062</v>
      </c>
      <c r="C666" t="s">
        <v>1751</v>
      </c>
      <c r="D666" s="8">
        <v>6</v>
      </c>
      <c r="E666" s="9">
        <v>416.03</v>
      </c>
      <c r="F666" s="8">
        <v>279</v>
      </c>
      <c r="G666" s="10"/>
      <c r="H666" s="9" t="str">
        <f>IF(G666="","",E666*G666)</f>
        <v/>
      </c>
      <c r="I666" s="11" t="str">
        <f>HYPERLINK("https://optomposuda.ru/product/tarelka-21-sm-victoria-marrone","открыть")</f>
        <v>открыть</v>
      </c>
    </row>
    <row r="667" spans="1:9" x14ac:dyDescent="0.25">
      <c r="A667" t="s">
        <v>3063</v>
      </c>
      <c r="B667" t="s">
        <v>3064</v>
      </c>
      <c r="C667" t="s">
        <v>1751</v>
      </c>
      <c r="D667" s="8">
        <v>8</v>
      </c>
      <c r="E667" s="9">
        <v>336.31</v>
      </c>
      <c r="F667" s="8">
        <v>5</v>
      </c>
      <c r="G667" s="10"/>
      <c r="H667" s="9" t="str">
        <f>IF(G667="","",E667*G667)</f>
        <v/>
      </c>
      <c r="I667" s="11" t="str">
        <f>HYPERLINK("https://optomposuda.ru/product/tarelka-21-sm-belaya-so-snezhinkoy","открыть")</f>
        <v>открыть</v>
      </c>
    </row>
    <row r="668" spans="1:9" x14ac:dyDescent="0.25">
      <c r="A668" t="s">
        <v>3065</v>
      </c>
      <c r="B668" t="s">
        <v>3066</v>
      </c>
      <c r="C668" t="s">
        <v>1751</v>
      </c>
      <c r="D668" s="8">
        <v>8</v>
      </c>
      <c r="E668" s="9">
        <v>410.9</v>
      </c>
      <c r="F668" s="8">
        <v>399</v>
      </c>
      <c r="G668" s="10"/>
      <c r="H668" s="9" t="str">
        <f>IF(G668="","",E668*G668)</f>
        <v/>
      </c>
      <c r="I668" s="11" t="str">
        <f>HYPERLINK("https://optomposuda.ru/product/tarelka-21-sm-zvezdnyy-dozhd","открыть")</f>
        <v>открыть</v>
      </c>
    </row>
    <row r="669" spans="1:9" x14ac:dyDescent="0.25">
      <c r="A669" t="s">
        <v>3067</v>
      </c>
      <c r="B669" t="s">
        <v>3068</v>
      </c>
      <c r="C669" t="s">
        <v>1751</v>
      </c>
      <c r="D669" s="8">
        <v>4</v>
      </c>
      <c r="E669" s="9">
        <v>568.05</v>
      </c>
      <c r="F669" s="8">
        <v>505</v>
      </c>
      <c r="G669" s="10"/>
      <c r="H669" s="9" t="str">
        <f>IF(G669="","",E669*G669)</f>
        <v/>
      </c>
      <c r="I669" s="11" t="str">
        <f>HYPERLINK("https://optomposuda.ru/product/tarelka-21-sm-s-vysokim-bortom-victoria-marrone","открыть")</f>
        <v>открыть</v>
      </c>
    </row>
    <row r="670" spans="1:9" x14ac:dyDescent="0.25">
      <c r="A670" t="s">
        <v>3069</v>
      </c>
      <c r="B670" t="s">
        <v>3070</v>
      </c>
      <c r="C670" t="s">
        <v>1751</v>
      </c>
      <c r="D670" s="8">
        <v>8</v>
      </c>
      <c r="E670" s="9">
        <v>340.88</v>
      </c>
      <c r="F670" s="8">
        <v>2</v>
      </c>
      <c r="G670" s="10"/>
      <c r="H670" s="9" t="str">
        <f>IF(G670="","",E670*G670)</f>
        <v/>
      </c>
      <c r="I670" s="11" t="str">
        <f>HYPERLINK("https://optomposuda.ru/product/tarelka-21-21-1-5-sm-zolotistaya-roza-art-17908-g-120846","открыть")</f>
        <v>открыть</v>
      </c>
    </row>
    <row r="671" spans="1:9" x14ac:dyDescent="0.25">
      <c r="A671" t="s">
        <v>3071</v>
      </c>
      <c r="B671" t="s">
        <v>3072</v>
      </c>
      <c r="C671" t="s">
        <v>1751</v>
      </c>
      <c r="D671" s="8">
        <v>6</v>
      </c>
      <c r="E671" s="9">
        <v>583.01</v>
      </c>
      <c r="F671" s="8">
        <v>238</v>
      </c>
      <c r="G671" s="10"/>
      <c r="H671" s="9" t="str">
        <f>IF(G671="","",E671*G671)</f>
        <v/>
      </c>
      <c r="I671" s="11" t="str">
        <f>HYPERLINK("https://optomposuda.ru/product/tarelka-28-sm-agava","открыть")</f>
        <v>открыть</v>
      </c>
    </row>
    <row r="672" spans="1:9" x14ac:dyDescent="0.25">
      <c r="A672" t="s">
        <v>3073</v>
      </c>
      <c r="B672" t="s">
        <v>3074</v>
      </c>
      <c r="C672" t="s">
        <v>1751</v>
      </c>
      <c r="D672" s="8">
        <v>6</v>
      </c>
      <c r="E672" s="9">
        <v>613.92</v>
      </c>
      <c r="F672" s="8">
        <v>118</v>
      </c>
      <c r="G672" s="10"/>
      <c r="H672" s="9" t="str">
        <f>IF(G672="","",E672*G672)</f>
        <v/>
      </c>
      <c r="I672" s="11" t="str">
        <f>HYPERLINK("https://optomposuda.ru/product/tarelka-28-sm-akvarel-biryuza","открыть")</f>
        <v>открыть</v>
      </c>
    </row>
    <row r="673" spans="1:9" x14ac:dyDescent="0.25">
      <c r="A673" t="s">
        <v>3075</v>
      </c>
      <c r="B673" t="s">
        <v>3076</v>
      </c>
      <c r="C673" t="s">
        <v>1751</v>
      </c>
      <c r="D673" s="8">
        <v>6</v>
      </c>
      <c r="E673" s="9">
        <v>544.61</v>
      </c>
      <c r="F673" s="8">
        <v>67</v>
      </c>
      <c r="G673" s="10"/>
      <c r="H673" s="9" t="str">
        <f>IF(G673="","",E673*G673)</f>
        <v/>
      </c>
      <c r="I673" s="11" t="str">
        <f>HYPERLINK("https://optomposuda.ru/product/tarelka-28-sm-akvarel-zolotoy-pesok","открыть")</f>
        <v>открыть</v>
      </c>
    </row>
    <row r="674" spans="1:9" x14ac:dyDescent="0.25">
      <c r="A674" t="s">
        <v>3077</v>
      </c>
      <c r="B674" t="s">
        <v>3078</v>
      </c>
      <c r="C674" t="s">
        <v>1751</v>
      </c>
      <c r="D674" s="8">
        <v>6</v>
      </c>
      <c r="E674" s="9">
        <v>544.61</v>
      </c>
      <c r="F674" s="8">
        <v>205</v>
      </c>
      <c r="G674" s="10"/>
      <c r="H674" s="9" t="str">
        <f>IF(G674="","",E674*G674)</f>
        <v/>
      </c>
      <c r="I674" s="11" t="str">
        <f>HYPERLINK("https://optomposuda.ru/product/tarelka-28-sm-akvarel-roza","открыть")</f>
        <v>открыть</v>
      </c>
    </row>
    <row r="675" spans="1:9" x14ac:dyDescent="0.25">
      <c r="A675" t="s">
        <v>3079</v>
      </c>
      <c r="B675" t="s">
        <v>3080</v>
      </c>
      <c r="C675" t="s">
        <v>1751</v>
      </c>
      <c r="D675" s="8">
        <v>6</v>
      </c>
      <c r="E675" s="9">
        <v>548.16</v>
      </c>
      <c r="F675" s="8">
        <v>366</v>
      </c>
      <c r="G675" s="10"/>
      <c r="H675" s="9" t="str">
        <f>IF(G675="","",E675*G675)</f>
        <v/>
      </c>
      <c r="I675" s="11" t="str">
        <f>HYPERLINK("https://optomposuda.ru/product/tarelka-28-sm-divo","открыть")</f>
        <v>открыть</v>
      </c>
    </row>
    <row r="676" spans="1:9" x14ac:dyDescent="0.25">
      <c r="A676" t="s">
        <v>3081</v>
      </c>
      <c r="B676" t="s">
        <v>3082</v>
      </c>
      <c r="C676" t="s">
        <v>1751</v>
      </c>
      <c r="D676" s="8">
        <v>6</v>
      </c>
      <c r="E676" s="9">
        <v>707.15</v>
      </c>
      <c r="F676" s="8">
        <v>82</v>
      </c>
      <c r="G676" s="10"/>
      <c r="H676" s="9" t="str">
        <f>IF(G676="","",E676*G676)</f>
        <v/>
      </c>
      <c r="I676" s="11" t="str">
        <f>HYPERLINK("https://optomposuda.ru/product/tarelka-28-sm-zolotaya-osen-15485-g","открыть")</f>
        <v>открыть</v>
      </c>
    </row>
    <row r="677" spans="1:9" x14ac:dyDescent="0.25">
      <c r="A677" t="s">
        <v>3083</v>
      </c>
      <c r="B677" t="s">
        <v>3084</v>
      </c>
      <c r="C677" t="s">
        <v>1751</v>
      </c>
      <c r="D677" s="8">
        <v>6</v>
      </c>
      <c r="E677" s="9">
        <v>511.75</v>
      </c>
      <c r="F677" s="8">
        <v>83</v>
      </c>
      <c r="G677" s="10"/>
      <c r="H677" s="9" t="str">
        <f>IF(G677="","",E677*G677)</f>
        <v/>
      </c>
      <c r="I677" s="11" t="str">
        <f>HYPERLINK("https://optomposuda.ru/product/tarelka-28-sm-kraski-oseni-green-19626-g","открыть")</f>
        <v>открыть</v>
      </c>
    </row>
    <row r="678" spans="1:9" x14ac:dyDescent="0.25">
      <c r="A678" t="s">
        <v>3085</v>
      </c>
      <c r="B678" t="s">
        <v>3086</v>
      </c>
      <c r="C678" t="s">
        <v>1751</v>
      </c>
      <c r="D678" s="8">
        <v>6</v>
      </c>
      <c r="E678" s="9">
        <v>517.29</v>
      </c>
      <c r="F678" s="8">
        <v>260</v>
      </c>
      <c r="G678" s="10"/>
      <c r="H678" s="9" t="str">
        <f>IF(G678="","",E678*G678)</f>
        <v/>
      </c>
      <c r="I678" s="11" t="str">
        <f>HYPERLINK("https://optomposuda.ru/product/tarelka-28-sm-krasnyy-mak","открыть")</f>
        <v>открыть</v>
      </c>
    </row>
    <row r="679" spans="1:9" x14ac:dyDescent="0.25">
      <c r="A679" t="s">
        <v>3087</v>
      </c>
      <c r="B679" t="s">
        <v>3088</v>
      </c>
      <c r="C679" t="s">
        <v>1751</v>
      </c>
      <c r="D679" s="8">
        <v>6</v>
      </c>
      <c r="E679" s="9">
        <v>507.49</v>
      </c>
      <c r="F679" s="8">
        <v>117</v>
      </c>
      <c r="G679" s="10"/>
      <c r="H679" s="9" t="str">
        <f>IF(G679="","",E679*G679)</f>
        <v/>
      </c>
      <c r="I679" s="11" t="str">
        <f>HYPERLINK("https://optomposuda.ru/product/tarelka-28-sm-lepestki-v-rose","открыть")</f>
        <v>открыть</v>
      </c>
    </row>
    <row r="680" spans="1:9" x14ac:dyDescent="0.25">
      <c r="A680" t="s">
        <v>3089</v>
      </c>
      <c r="B680" t="s">
        <v>3090</v>
      </c>
      <c r="C680" t="s">
        <v>1751</v>
      </c>
      <c r="D680" s="8">
        <v>6</v>
      </c>
      <c r="E680" s="9">
        <v>752.54</v>
      </c>
      <c r="F680" s="8">
        <v>162</v>
      </c>
      <c r="G680" s="10"/>
      <c r="H680" s="9" t="str">
        <f>IF(G680="","",E680*G680)</f>
        <v/>
      </c>
      <c r="I680" s="11" t="str">
        <f>HYPERLINK("https://optomposuda.ru/product/tarelka-28-sm-lorien","открыть")</f>
        <v>открыть</v>
      </c>
    </row>
    <row r="681" spans="1:9" x14ac:dyDescent="0.25">
      <c r="A681" t="s">
        <v>3091</v>
      </c>
      <c r="B681" t="s">
        <v>3092</v>
      </c>
      <c r="C681" t="s">
        <v>1751</v>
      </c>
      <c r="D681" s="8">
        <v>6</v>
      </c>
      <c r="E681" s="9">
        <v>613.92</v>
      </c>
      <c r="F681" s="8">
        <v>55</v>
      </c>
      <c r="G681" s="10"/>
      <c r="H681" s="9" t="str">
        <f>IF(G681="","",E681*G681)</f>
        <v/>
      </c>
      <c r="I681" s="11" t="str">
        <f>HYPERLINK("https://optomposuda.ru/product/tarelka-28-sm-noktyurn","открыть")</f>
        <v>открыть</v>
      </c>
    </row>
    <row r="682" spans="1:9" x14ac:dyDescent="0.25">
      <c r="A682" t="s">
        <v>3093</v>
      </c>
      <c r="B682" t="s">
        <v>3094</v>
      </c>
      <c r="C682" t="s">
        <v>1751</v>
      </c>
      <c r="D682" s="8">
        <v>6</v>
      </c>
      <c r="E682" s="9">
        <v>921.34</v>
      </c>
      <c r="F682" s="8">
        <v>142</v>
      </c>
      <c r="G682" s="10"/>
      <c r="H682" s="9" t="str">
        <f>IF(G682="","",E682*G682)</f>
        <v/>
      </c>
      <c r="I682" s="11" t="str">
        <f>HYPERLINK("https://optomposuda.ru/product/tarelka-28-sm-olivkovaya-roscha","открыть")</f>
        <v>открыть</v>
      </c>
    </row>
    <row r="683" spans="1:9" x14ac:dyDescent="0.25">
      <c r="A683" t="s">
        <v>3095</v>
      </c>
      <c r="B683" t="s">
        <v>3096</v>
      </c>
      <c r="C683" t="s">
        <v>1751</v>
      </c>
      <c r="D683" s="8">
        <v>6</v>
      </c>
      <c r="E683" s="9">
        <v>921.34</v>
      </c>
      <c r="F683" s="8">
        <v>201</v>
      </c>
      <c r="G683" s="10"/>
      <c r="H683" s="9" t="str">
        <f>IF(G683="","",E683*G683)</f>
        <v/>
      </c>
      <c r="I683" s="11" t="str">
        <f>HYPERLINK("https://optomposuda.ru/product/tarelka-28-sm-olivkovaya-roscha-zelenaya","открыть")</f>
        <v>открыть</v>
      </c>
    </row>
    <row r="684" spans="1:9" x14ac:dyDescent="0.25">
      <c r="A684" t="s">
        <v>3097</v>
      </c>
      <c r="B684" t="s">
        <v>3098</v>
      </c>
      <c r="C684" t="s">
        <v>1751</v>
      </c>
      <c r="D684" s="8">
        <v>6</v>
      </c>
      <c r="E684" s="9">
        <v>536.06</v>
      </c>
      <c r="F684" s="8">
        <v>224</v>
      </c>
      <c r="G684" s="10"/>
      <c r="H684" s="9" t="str">
        <f>IF(G684="","",E684*G684)</f>
        <v/>
      </c>
      <c r="I684" s="11" t="str">
        <f>HYPERLINK("https://optomposuda.ru/product/tarelka-28-sm-podsolnuh","открыть")</f>
        <v>открыть</v>
      </c>
    </row>
    <row r="685" spans="1:9" x14ac:dyDescent="0.25">
      <c r="A685" t="s">
        <v>3099</v>
      </c>
      <c r="B685" t="s">
        <v>3100</v>
      </c>
      <c r="C685" t="s">
        <v>1751</v>
      </c>
      <c r="D685" s="8">
        <v>6</v>
      </c>
      <c r="E685" s="9">
        <v>589.82</v>
      </c>
      <c r="F685" s="8">
        <v>392</v>
      </c>
      <c r="G685" s="10"/>
      <c r="H685" s="9" t="str">
        <f>IF(G685="","",E685*G685)</f>
        <v/>
      </c>
      <c r="I685" s="11" t="str">
        <f>HYPERLINK("https://optomposuda.ru/product/tarelka-28-sm-ellada","открыть")</f>
        <v>открыть</v>
      </c>
    </row>
    <row r="686" spans="1:9" x14ac:dyDescent="0.25">
      <c r="A686" t="s">
        <v>3101</v>
      </c>
      <c r="B686" t="s">
        <v>3102</v>
      </c>
      <c r="C686" t="s">
        <v>1751</v>
      </c>
      <c r="D686" s="8">
        <v>6</v>
      </c>
      <c r="E686" s="9">
        <v>783.08</v>
      </c>
      <c r="F686" s="8">
        <v>162</v>
      </c>
      <c r="G686" s="10"/>
      <c r="H686" s="9" t="str">
        <f>IF(G686="","",E686*G686)</f>
        <v/>
      </c>
      <c r="I686" s="11" t="str">
        <f>HYPERLINK("https://optomposuda.ru/product/tarelka-28-sm-aurora","открыть")</f>
        <v>открыть</v>
      </c>
    </row>
    <row r="687" spans="1:9" x14ac:dyDescent="0.25">
      <c r="A687" t="s">
        <v>3103</v>
      </c>
      <c r="B687" t="s">
        <v>3104</v>
      </c>
      <c r="C687" t="s">
        <v>1751</v>
      </c>
      <c r="D687" s="8">
        <v>1</v>
      </c>
      <c r="E687" s="9">
        <v>427.85</v>
      </c>
      <c r="F687" s="8">
        <v>356</v>
      </c>
      <c r="G687" s="10"/>
      <c r="H687" s="9" t="str">
        <f>IF(G687="","",E687*G687)</f>
        <v/>
      </c>
      <c r="I687" s="11" t="str">
        <f>HYPERLINK("https://optomposuda.ru/product/tarelka-28-sm-diamond-art-19757","открыть")</f>
        <v>открыть</v>
      </c>
    </row>
    <row r="688" spans="1:9" x14ac:dyDescent="0.25">
      <c r="A688" t="s">
        <v>3105</v>
      </c>
      <c r="B688" t="s">
        <v>3106</v>
      </c>
      <c r="C688" t="s">
        <v>1751</v>
      </c>
      <c r="D688" s="8">
        <v>6</v>
      </c>
      <c r="E688" s="9">
        <v>707.15</v>
      </c>
      <c r="F688" s="8">
        <v>159</v>
      </c>
      <c r="G688" s="10"/>
      <c r="H688" s="9" t="str">
        <f>IF(G688="","",E688*G688)</f>
        <v/>
      </c>
      <c r="I688" s="11" t="str">
        <f>HYPERLINK("https://optomposuda.ru/product/tarelka-28-sm-inspiration-amber-16468-v","открыть")</f>
        <v>открыть</v>
      </c>
    </row>
    <row r="689" spans="1:9" x14ac:dyDescent="0.25">
      <c r="A689" t="s">
        <v>3107</v>
      </c>
      <c r="B689" t="s">
        <v>3108</v>
      </c>
      <c r="C689" t="s">
        <v>1751</v>
      </c>
      <c r="D689" s="8">
        <v>6</v>
      </c>
      <c r="E689" s="9">
        <v>422.91</v>
      </c>
      <c r="F689" s="8">
        <v>122</v>
      </c>
      <c r="G689" s="10"/>
      <c r="H689" s="9" t="str">
        <f>IF(G689="","",E689*G689)</f>
        <v/>
      </c>
      <c r="I689" s="11" t="str">
        <f>HYPERLINK("https://optomposuda.ru/product/tarelka-28-sm-izmir","открыть")</f>
        <v>открыть</v>
      </c>
    </row>
    <row r="690" spans="1:9" x14ac:dyDescent="0.25">
      <c r="A690" t="s">
        <v>3109</v>
      </c>
      <c r="B690" t="s">
        <v>3110</v>
      </c>
      <c r="C690" t="s">
        <v>1751</v>
      </c>
      <c r="D690" s="8">
        <v>6</v>
      </c>
      <c r="E690" s="9">
        <v>422.91</v>
      </c>
      <c r="F690" s="8">
        <v>324</v>
      </c>
      <c r="G690" s="10"/>
      <c r="H690" s="9" t="str">
        <f>IF(G690="","",E690*G690)</f>
        <v/>
      </c>
      <c r="I690" s="11" t="str">
        <f>HYPERLINK("https://optomposuda.ru/product/tarelka-28-sm-marseille","открыть")</f>
        <v>открыть</v>
      </c>
    </row>
    <row r="691" spans="1:9" x14ac:dyDescent="0.25">
      <c r="A691" t="s">
        <v>3111</v>
      </c>
      <c r="B691" t="s">
        <v>3112</v>
      </c>
      <c r="C691" t="s">
        <v>1751</v>
      </c>
      <c r="D691" s="8">
        <v>6</v>
      </c>
      <c r="E691" s="9">
        <v>783.08</v>
      </c>
      <c r="F691" s="8">
        <v>156</v>
      </c>
      <c r="G691" s="10"/>
      <c r="H691" s="9" t="str">
        <f>IF(G691="","",E691*G691)</f>
        <v/>
      </c>
      <c r="I691" s="11" t="str">
        <f>HYPERLINK("https://optomposuda.ru/product/tarelka-28-sm-north-wind","открыть")</f>
        <v>открыть</v>
      </c>
    </row>
    <row r="692" spans="1:9" x14ac:dyDescent="0.25">
      <c r="A692" t="s">
        <v>3113</v>
      </c>
      <c r="B692" t="s">
        <v>3114</v>
      </c>
      <c r="C692" t="s">
        <v>1751</v>
      </c>
      <c r="D692" s="8">
        <v>6</v>
      </c>
      <c r="E692" s="9">
        <v>487.25</v>
      </c>
      <c r="F692" s="8">
        <v>92</v>
      </c>
      <c r="G692" s="10"/>
      <c r="H692" s="9" t="str">
        <f>IF(G692="","",E692*G692)</f>
        <v/>
      </c>
      <c r="I692" s="11" t="str">
        <f>HYPERLINK("https://optomposuda.ru/product/tarelka-28-sm-oro","открыть")</f>
        <v>открыть</v>
      </c>
    </row>
    <row r="693" spans="1:9" x14ac:dyDescent="0.25">
      <c r="A693" t="s">
        <v>3115</v>
      </c>
      <c r="B693" t="s">
        <v>3116</v>
      </c>
      <c r="C693" t="s">
        <v>1751</v>
      </c>
      <c r="D693" s="8">
        <v>6</v>
      </c>
      <c r="E693" s="9">
        <v>422.91</v>
      </c>
      <c r="F693" s="8">
        <v>267</v>
      </c>
      <c r="G693" s="10"/>
      <c r="H693" s="9" t="str">
        <f>IF(G693="","",E693*G693)</f>
        <v/>
      </c>
      <c r="I693" s="11" t="str">
        <f>HYPERLINK("https://optomposuda.ru/product/tarelka-28-sm-rio","открыть")</f>
        <v>открыть</v>
      </c>
    </row>
    <row r="694" spans="1:9" x14ac:dyDescent="0.25">
      <c r="A694" t="s">
        <v>3117</v>
      </c>
      <c r="B694" t="s">
        <v>3118</v>
      </c>
      <c r="C694" t="s">
        <v>1751</v>
      </c>
      <c r="D694" s="8">
        <v>6</v>
      </c>
      <c r="E694" s="9">
        <v>529.17</v>
      </c>
      <c r="F694" s="8">
        <v>1</v>
      </c>
      <c r="G694" s="10"/>
      <c r="H694" s="9" t="str">
        <f>IF(G694="","",E694*G694)</f>
        <v/>
      </c>
      <c r="I694" s="11" t="str">
        <f>HYPERLINK("https://optomposuda.ru/product/tarelka-28-sm-belaya-so-snezhinkoy","открыть")</f>
        <v>открыть</v>
      </c>
    </row>
    <row r="695" spans="1:9" x14ac:dyDescent="0.25">
      <c r="A695" t="s">
        <v>3119</v>
      </c>
      <c r="B695" t="s">
        <v>3120</v>
      </c>
      <c r="C695" t="s">
        <v>1751</v>
      </c>
      <c r="D695" s="8">
        <v>6</v>
      </c>
      <c r="E695" s="9">
        <v>745.58</v>
      </c>
      <c r="F695" s="8">
        <v>419</v>
      </c>
      <c r="G695" s="10"/>
      <c r="H695" s="9" t="str">
        <f>IF(G695="","",E695*G695)</f>
        <v/>
      </c>
      <c r="I695" s="11" t="str">
        <f>HYPERLINK("https://optomposuda.ru/product/tarelka-28-sm-zvezdnyy-dozhd","открыть")</f>
        <v>открыть</v>
      </c>
    </row>
    <row r="696" spans="1:9" x14ac:dyDescent="0.25">
      <c r="A696" t="s">
        <v>3121</v>
      </c>
      <c r="B696" t="s">
        <v>3122</v>
      </c>
      <c r="C696" t="s">
        <v>1751</v>
      </c>
      <c r="D696" s="8">
        <v>6</v>
      </c>
      <c r="E696" s="9">
        <v>529.17</v>
      </c>
      <c r="F696" s="8">
        <v>3</v>
      </c>
      <c r="G696" s="10"/>
      <c r="H696" s="9" t="str">
        <f>IF(G696="","",E696*G696)</f>
        <v/>
      </c>
      <c r="I696" s="11" t="str">
        <f>HYPERLINK("https://optomposuda.ru/product/tarelka-28-sm-krasnaya-so-snezhinkoy","открыть")</f>
        <v>открыть</v>
      </c>
    </row>
    <row r="697" spans="1:9" x14ac:dyDescent="0.25">
      <c r="A697" t="s">
        <v>3123</v>
      </c>
      <c r="B697" t="s">
        <v>3124</v>
      </c>
      <c r="C697" t="s">
        <v>1751</v>
      </c>
      <c r="D697" s="8">
        <v>1</v>
      </c>
      <c r="E697" s="9">
        <v>625.73</v>
      </c>
      <c r="F697" s="8">
        <v>148</v>
      </c>
      <c r="G697" s="10"/>
      <c r="H697" s="9" t="str">
        <f>IF(G697="","",E697*G697)</f>
        <v/>
      </c>
      <c r="I697" s="11" t="str">
        <f>HYPERLINK("https://optomposuda.ru/product/tarelka-28-sm-srednyaya-sakura-v-cvetu-art-15391","открыть")</f>
        <v>открыть</v>
      </c>
    </row>
    <row r="698" spans="1:9" x14ac:dyDescent="0.25">
      <c r="A698" t="s">
        <v>3125</v>
      </c>
      <c r="B698" t="s">
        <v>3126</v>
      </c>
      <c r="C698" t="s">
        <v>1751</v>
      </c>
      <c r="D698" s="8">
        <v>6</v>
      </c>
      <c r="E698" s="9">
        <v>517.29</v>
      </c>
      <c r="F698" s="8">
        <v>198</v>
      </c>
      <c r="G698" s="10"/>
      <c r="H698" s="9" t="str">
        <f>IF(G698="","",E698*G698)</f>
        <v/>
      </c>
      <c r="I698" s="11" t="str">
        <f>HYPERLINK("https://optomposuda.ru/product/tarelka-28-cm-morskaya-stihiya","открыть")</f>
        <v>открыть</v>
      </c>
    </row>
    <row r="699" spans="1:9" x14ac:dyDescent="0.25">
      <c r="A699" t="s">
        <v>3127</v>
      </c>
      <c r="B699" t="s">
        <v>3128</v>
      </c>
      <c r="C699" t="s">
        <v>1751</v>
      </c>
      <c r="D699" s="8">
        <v>6</v>
      </c>
      <c r="E699" s="9">
        <v>803.53</v>
      </c>
      <c r="F699" s="8">
        <v>167</v>
      </c>
      <c r="G699" s="10"/>
      <c r="H699" s="9" t="str">
        <f>IF(G699="","",E699*G699)</f>
        <v/>
      </c>
      <c r="I699" s="11" t="str">
        <f>HYPERLINK("https://optomposuda.ru/product/tarelka-32-sm-agava","открыть")</f>
        <v>открыть</v>
      </c>
    </row>
    <row r="700" spans="1:9" x14ac:dyDescent="0.25">
      <c r="A700" t="s">
        <v>3129</v>
      </c>
      <c r="B700" t="s">
        <v>3130</v>
      </c>
      <c r="C700" t="s">
        <v>1751</v>
      </c>
      <c r="D700" s="8">
        <v>6</v>
      </c>
      <c r="E700" s="9">
        <v>771.48</v>
      </c>
      <c r="F700" s="8">
        <v>288</v>
      </c>
      <c r="G700" s="10"/>
      <c r="H700" s="9" t="str">
        <f>IF(G700="","",E700*G700)</f>
        <v/>
      </c>
      <c r="I700" s="11" t="str">
        <f>HYPERLINK("https://optomposuda.ru/product/tarelka-32-sm-divo","открыть")</f>
        <v>открыть</v>
      </c>
    </row>
    <row r="701" spans="1:9" x14ac:dyDescent="0.25">
      <c r="A701" t="s">
        <v>3131</v>
      </c>
      <c r="B701" t="s">
        <v>3132</v>
      </c>
      <c r="C701" t="s">
        <v>1751</v>
      </c>
      <c r="D701" s="8">
        <v>6</v>
      </c>
      <c r="E701" s="9">
        <v>710.57</v>
      </c>
      <c r="F701" s="8">
        <v>141</v>
      </c>
      <c r="G701" s="10"/>
      <c r="H701" s="9" t="str">
        <f>IF(G701="","",E701*G701)</f>
        <v/>
      </c>
      <c r="I701" s="11" t="str">
        <f>HYPERLINK("https://optomposuda.ru/product/tarelka-32-sm-irbis","открыть")</f>
        <v>открыть</v>
      </c>
    </row>
    <row r="702" spans="1:9" x14ac:dyDescent="0.25">
      <c r="A702" t="s">
        <v>3133</v>
      </c>
      <c r="B702" t="s">
        <v>3134</v>
      </c>
      <c r="C702" t="s">
        <v>1751</v>
      </c>
      <c r="D702" s="8">
        <v>6</v>
      </c>
      <c r="E702" s="9">
        <v>740.09</v>
      </c>
      <c r="F702" s="8">
        <v>93</v>
      </c>
      <c r="G702" s="10"/>
      <c r="H702" s="9" t="str">
        <f>IF(G702="","",E702*G702)</f>
        <v/>
      </c>
      <c r="I702" s="11" t="str">
        <f>HYPERLINK("https://optomposuda.ru/product/tarelka-32-sm-lepestki-v-rose","открыть")</f>
        <v>открыть</v>
      </c>
    </row>
    <row r="703" spans="1:9" x14ac:dyDescent="0.25">
      <c r="A703" t="s">
        <v>3135</v>
      </c>
      <c r="B703" t="s">
        <v>3136</v>
      </c>
      <c r="C703" t="s">
        <v>1751</v>
      </c>
      <c r="D703" s="8">
        <v>6</v>
      </c>
      <c r="E703" s="9">
        <v>1076</v>
      </c>
      <c r="F703" s="8">
        <v>168</v>
      </c>
      <c r="G703" s="10"/>
      <c r="H703" s="9" t="str">
        <f>IF(G703="","",E703*G703)</f>
        <v/>
      </c>
      <c r="I703" s="11" t="str">
        <f>HYPERLINK("https://optomposuda.ru/product/tarelka-32-sm-lorien","открыть")</f>
        <v>открыть</v>
      </c>
    </row>
    <row r="704" spans="1:9" x14ac:dyDescent="0.25">
      <c r="A704" t="s">
        <v>3137</v>
      </c>
      <c r="B704" t="s">
        <v>3138</v>
      </c>
      <c r="C704" t="s">
        <v>1751</v>
      </c>
      <c r="D704" s="8">
        <v>6</v>
      </c>
      <c r="E704" s="9">
        <v>803.53</v>
      </c>
      <c r="F704" s="8">
        <v>207</v>
      </c>
      <c r="G704" s="10"/>
      <c r="H704" s="9" t="str">
        <f>IF(G704="","",E704*G704)</f>
        <v/>
      </c>
      <c r="I704" s="11" t="str">
        <f>HYPERLINK("https://optomposuda.ru/product/tarelka-32-sm-ellada","открыть")</f>
        <v>открыть</v>
      </c>
    </row>
    <row r="705" spans="1:9" x14ac:dyDescent="0.25">
      <c r="A705" t="s">
        <v>3139</v>
      </c>
      <c r="B705" t="s">
        <v>3140</v>
      </c>
      <c r="C705" t="s">
        <v>1751</v>
      </c>
      <c r="D705" s="8">
        <v>6</v>
      </c>
      <c r="E705" s="9">
        <v>613.22</v>
      </c>
      <c r="F705" s="8">
        <v>259</v>
      </c>
      <c r="G705" s="10"/>
      <c r="H705" s="9" t="str">
        <f>IF(G705="","",E705*G705)</f>
        <v/>
      </c>
      <c r="I705" s="11" t="str">
        <f>HYPERLINK("https://optomposuda.ru/product/tarelka-32-sm-izmir","открыть")</f>
        <v>открыть</v>
      </c>
    </row>
    <row r="706" spans="1:9" x14ac:dyDescent="0.25">
      <c r="A706" t="s">
        <v>3141</v>
      </c>
      <c r="B706" t="s">
        <v>3142</v>
      </c>
      <c r="C706" t="s">
        <v>1751</v>
      </c>
      <c r="D706" s="8">
        <v>6</v>
      </c>
      <c r="E706" s="9">
        <v>613.22</v>
      </c>
      <c r="F706" s="8">
        <v>165</v>
      </c>
      <c r="G706" s="10"/>
      <c r="H706" s="9" t="str">
        <f>IF(G706="","",E706*G706)</f>
        <v/>
      </c>
      <c r="I706" s="11" t="str">
        <f>HYPERLINK("https://optomposuda.ru/product/tarelka-32-sm-marseille","открыть")</f>
        <v>открыть</v>
      </c>
    </row>
    <row r="707" spans="1:9" x14ac:dyDescent="0.25">
      <c r="A707" t="s">
        <v>3143</v>
      </c>
      <c r="B707" t="s">
        <v>3144</v>
      </c>
      <c r="C707" t="s">
        <v>1751</v>
      </c>
      <c r="D707" s="8">
        <v>6</v>
      </c>
      <c r="E707" s="9">
        <v>986.1</v>
      </c>
      <c r="F707" s="8">
        <v>172</v>
      </c>
      <c r="G707" s="10"/>
      <c r="H707" s="9" t="str">
        <f>IF(G707="","",E707*G707)</f>
        <v/>
      </c>
      <c r="I707" s="11" t="str">
        <f>HYPERLINK("https://optomposuda.ru/product/tarelka-32-sm-north-wind","открыть")</f>
        <v>открыть</v>
      </c>
    </row>
    <row r="708" spans="1:9" x14ac:dyDescent="0.25">
      <c r="A708" t="s">
        <v>3145</v>
      </c>
      <c r="B708" t="s">
        <v>3146</v>
      </c>
      <c r="C708" t="s">
        <v>1751</v>
      </c>
      <c r="D708" s="8">
        <v>6</v>
      </c>
      <c r="E708" s="9">
        <v>710.58</v>
      </c>
      <c r="F708" s="8">
        <v>252</v>
      </c>
      <c r="G708" s="10"/>
      <c r="H708" s="9" t="str">
        <f>IF(G708="","",E708*G708)</f>
        <v/>
      </c>
      <c r="I708" s="11" t="str">
        <f>HYPERLINK("https://optomposuda.ru/product/tarelka-32-sm-oro","открыть")</f>
        <v>открыть</v>
      </c>
    </row>
    <row r="709" spans="1:9" x14ac:dyDescent="0.25">
      <c r="A709" t="s">
        <v>3147</v>
      </c>
      <c r="B709" t="s">
        <v>3148</v>
      </c>
      <c r="C709" t="s">
        <v>1751</v>
      </c>
      <c r="D709" s="8">
        <v>6</v>
      </c>
      <c r="E709" s="9">
        <v>620.38</v>
      </c>
      <c r="F709" s="8">
        <v>332</v>
      </c>
      <c r="G709" s="10"/>
      <c r="H709" s="9" t="str">
        <f>IF(G709="","",E709*G709)</f>
        <v/>
      </c>
      <c r="I709" s="11" t="str">
        <f>HYPERLINK("https://optomposuda.ru/product/tarelka-32-sm-rio","открыть")</f>
        <v>открыть</v>
      </c>
    </row>
    <row r="710" spans="1:9" x14ac:dyDescent="0.25">
      <c r="A710" t="s">
        <v>3149</v>
      </c>
      <c r="B710" t="s">
        <v>3150</v>
      </c>
      <c r="C710" t="s">
        <v>1751</v>
      </c>
      <c r="D710" s="8">
        <v>6</v>
      </c>
      <c r="E710" s="9">
        <v>771.48</v>
      </c>
      <c r="F710" s="8">
        <v>218</v>
      </c>
      <c r="G710" s="10"/>
      <c r="H710" s="9" t="str">
        <f>IF(G710="","",E710*G710)</f>
        <v/>
      </c>
      <c r="I710" s="11" t="str">
        <f>HYPERLINK("https://optomposuda.ru/product/tarelka-32-sm-akcentnaya-oro-beloe","открыть")</f>
        <v>открыть</v>
      </c>
    </row>
    <row r="711" spans="1:9" x14ac:dyDescent="0.25">
      <c r="A711" t="s">
        <v>3151</v>
      </c>
      <c r="B711" t="s">
        <v>3152</v>
      </c>
      <c r="C711" t="s">
        <v>1751</v>
      </c>
      <c r="D711" s="8">
        <v>6</v>
      </c>
      <c r="E711" s="9">
        <v>1083.58</v>
      </c>
      <c r="F711" s="8">
        <v>412</v>
      </c>
      <c r="G711" s="10"/>
      <c r="H711" s="9" t="str">
        <f>IF(G711="","",E711*G711)</f>
        <v/>
      </c>
      <c r="I711" s="11" t="str">
        <f>HYPERLINK("https://optomposuda.ru/product/tarelka-32-sm-zvezdnyy-dozhd","открыть")</f>
        <v>открыть</v>
      </c>
    </row>
    <row r="712" spans="1:9" x14ac:dyDescent="0.25">
      <c r="A712" t="s">
        <v>3153</v>
      </c>
      <c r="B712" t="s">
        <v>3154</v>
      </c>
      <c r="C712" t="s">
        <v>1751</v>
      </c>
      <c r="D712" s="8">
        <v>1</v>
      </c>
      <c r="E712" s="9">
        <v>620.38</v>
      </c>
      <c r="F712" s="8">
        <v>263</v>
      </c>
      <c r="G712" s="10"/>
      <c r="H712" s="9" t="str">
        <f>IF(G712="","",E712*G712)</f>
        <v/>
      </c>
      <c r="I712" s="11" t="str">
        <f>HYPERLINK("https://optomposuda.ru/product/tarelka-33-sm-diamond-art-19758","открыть")</f>
        <v>открыть</v>
      </c>
    </row>
    <row r="713" spans="1:9" x14ac:dyDescent="0.25">
      <c r="A713" t="s">
        <v>3155</v>
      </c>
      <c r="B713" t="s">
        <v>3156</v>
      </c>
      <c r="C713" t="s">
        <v>1751</v>
      </c>
      <c r="D713" s="8">
        <v>1</v>
      </c>
      <c r="E713" s="9">
        <v>309.84</v>
      </c>
      <c r="F713" s="8">
        <v>11</v>
      </c>
      <c r="G713" s="10"/>
      <c r="H713" s="9" t="str">
        <f>IF(G713="","",E713*G713)</f>
        <v/>
      </c>
      <c r="I713" s="11" t="str">
        <f>HYPERLINK("https://optomposuda.ru/product/tarelka-bolshaya-volshebnaya-tykva-21sm-sirenevaya-bez-upakovki-kor-8sht-16265-s","открыть")</f>
        <v>открыть</v>
      </c>
    </row>
    <row r="714" spans="1:9" x14ac:dyDescent="0.25">
      <c r="A714" t="s">
        <v>3157</v>
      </c>
      <c r="B714" t="s">
        <v>3158</v>
      </c>
      <c r="C714" t="s">
        <v>1751</v>
      </c>
      <c r="D714" s="8">
        <v>6</v>
      </c>
      <c r="E714" s="9">
        <v>634.88</v>
      </c>
      <c r="F714" s="8">
        <v>338</v>
      </c>
      <c r="G714" s="10"/>
      <c r="H714" s="9" t="str">
        <f>IF(G714="","",E714*G714)</f>
        <v/>
      </c>
      <c r="I714" s="11" t="str">
        <f>HYPERLINK("https://optomposuda.ru/product/tarelka-bolshaya-maki-28-sm","открыть")</f>
        <v>открыть</v>
      </c>
    </row>
    <row r="715" spans="1:9" x14ac:dyDescent="0.25">
      <c r="A715" t="s">
        <v>3159</v>
      </c>
      <c r="B715" t="s">
        <v>3160</v>
      </c>
      <c r="C715" t="s">
        <v>1751</v>
      </c>
      <c r="D715" s="8">
        <v>6</v>
      </c>
      <c r="E715" s="9">
        <v>458.76</v>
      </c>
      <c r="F715" s="8">
        <v>100</v>
      </c>
      <c r="G715" s="10"/>
      <c r="H715" s="9" t="str">
        <f>IF(G715="","",E715*G715)</f>
        <v/>
      </c>
      <c r="I715" s="11" t="str">
        <f>HYPERLINK("https://optomposuda.ru/product/tarelka-bolshaya-opal-belyy-32-sm","открыть")</f>
        <v>открыть</v>
      </c>
    </row>
    <row r="716" spans="1:9" x14ac:dyDescent="0.25">
      <c r="A716" t="s">
        <v>3161</v>
      </c>
      <c r="B716" t="s">
        <v>3162</v>
      </c>
      <c r="C716" t="s">
        <v>1751</v>
      </c>
      <c r="D716" s="8">
        <v>1</v>
      </c>
      <c r="E716" s="9">
        <v>406.45</v>
      </c>
      <c r="F716" s="8">
        <v>276</v>
      </c>
      <c r="G716" s="10"/>
      <c r="H716" s="9" t="str">
        <f>IF(G716="","",E716*G716)</f>
        <v/>
      </c>
      <c r="I716" s="11" t="str">
        <f>HYPERLINK("https://optomposuda.ru/product/tarelka-bolshaya-rozovyy-cvetok-28-sm-art-14095rr","открыть")</f>
        <v>открыть</v>
      </c>
    </row>
    <row r="717" spans="1:9" x14ac:dyDescent="0.25">
      <c r="A717" t="s">
        <v>3163</v>
      </c>
      <c r="B717" t="s">
        <v>3164</v>
      </c>
      <c r="C717" t="s">
        <v>1751</v>
      </c>
      <c r="D717" s="8">
        <v>6</v>
      </c>
      <c r="E717" s="9">
        <v>712.99</v>
      </c>
      <c r="F717" s="8">
        <v>1</v>
      </c>
      <c r="G717" s="10"/>
      <c r="H717" s="9" t="str">
        <f>IF(G717="","",E717*G717)</f>
        <v/>
      </c>
      <c r="I717" s="11" t="str">
        <f>HYPERLINK("https://optomposuda.ru/product/tarelka-bolshaya-tropiki-rassvet-32-sm","открыть")</f>
        <v>открыть</v>
      </c>
    </row>
    <row r="718" spans="1:9" x14ac:dyDescent="0.25">
      <c r="A718" t="s">
        <v>3165</v>
      </c>
      <c r="B718" t="s">
        <v>3166</v>
      </c>
      <c r="C718" t="s">
        <v>1751</v>
      </c>
      <c r="D718" s="8">
        <v>1</v>
      </c>
      <c r="E718" s="9">
        <v>712.99</v>
      </c>
      <c r="F718" s="8">
        <v>1</v>
      </c>
      <c r="G718" s="10"/>
      <c r="H718" s="9" t="str">
        <f>IF(G718="","",E718*G718)</f>
        <v/>
      </c>
      <c r="I718" s="11" t="str">
        <f>HYPERLINK("https://optomposuda.ru/product/tarelka-bolshaya-zhasmin-goluboy-32-cm-kor-6sht-16298-1","открыть")</f>
        <v>открыть</v>
      </c>
    </row>
    <row r="719" spans="1:9" x14ac:dyDescent="0.25">
      <c r="A719" t="s">
        <v>3167</v>
      </c>
      <c r="B719" t="s">
        <v>3168</v>
      </c>
      <c r="C719" t="s">
        <v>1751</v>
      </c>
      <c r="D719" s="8">
        <v>12</v>
      </c>
      <c r="E719" s="9">
        <v>308.18</v>
      </c>
      <c r="F719" s="8">
        <v>20</v>
      </c>
      <c r="G719" s="10"/>
      <c r="H719" s="9" t="str">
        <f>IF(G719="","",E719*G719)</f>
        <v/>
      </c>
      <c r="I719" s="11" t="str">
        <f>HYPERLINK("https://optomposuda.ru/product/tarelka-glubokaya-22-sm-rapsodiya","открыть")</f>
        <v>открыть</v>
      </c>
    </row>
    <row r="720" spans="1:9" x14ac:dyDescent="0.25">
      <c r="A720" t="s">
        <v>3169</v>
      </c>
      <c r="B720" t="s">
        <v>3170</v>
      </c>
      <c r="C720" t="s">
        <v>1751</v>
      </c>
      <c r="D720" s="8">
        <v>4</v>
      </c>
      <c r="E720" s="9">
        <v>477.29</v>
      </c>
      <c r="F720" s="8">
        <v>162</v>
      </c>
      <c r="G720" s="10"/>
      <c r="H720" s="9" t="str">
        <f>IF(G720="","",E720*G720)</f>
        <v/>
      </c>
      <c r="I720" s="11" t="str">
        <f>HYPERLINK("https://optomposuda.ru/product/tarelka-glubokaya-na-nozhke-21-sm-izmir","открыть")</f>
        <v>открыть</v>
      </c>
    </row>
    <row r="721" spans="1:9" x14ac:dyDescent="0.25">
      <c r="A721" t="s">
        <v>3171</v>
      </c>
      <c r="B721" t="s">
        <v>3172</v>
      </c>
      <c r="C721" t="s">
        <v>1751</v>
      </c>
      <c r="D721" s="8">
        <v>1</v>
      </c>
      <c r="E721" s="9">
        <v>1542.68</v>
      </c>
      <c r="F721" s="8">
        <v>179</v>
      </c>
      <c r="G721" s="10"/>
      <c r="H721" s="9" t="str">
        <f>IF(G721="","",E721*G721)</f>
        <v/>
      </c>
      <c r="I721" s="11" t="str">
        <f>HYPERLINK("https://optomposuda.ru/product/tarelka-kruglaya-na-nozhke-siyanie-nochi-28-sm-kor-4sht-16410a","открыть")</f>
        <v>открыть</v>
      </c>
    </row>
    <row r="722" spans="1:9" x14ac:dyDescent="0.25">
      <c r="A722" t="s">
        <v>3173</v>
      </c>
      <c r="B722" t="s">
        <v>3174</v>
      </c>
      <c r="C722" t="s">
        <v>1751</v>
      </c>
      <c r="D722" s="8">
        <v>1</v>
      </c>
      <c r="E722" s="9">
        <v>269.24</v>
      </c>
      <c r="F722" s="8">
        <v>7</v>
      </c>
      <c r="G722" s="10"/>
      <c r="H722" s="9" t="str">
        <f>IF(G722="","",E722*G722)</f>
        <v/>
      </c>
      <c r="I722" s="11" t="str">
        <f>HYPERLINK("https://optomposuda.ru/product/tarelka-malenkaya-volshebnaya-tykva-17sm-sirenevaya-bez-upakovki-kor-8sht-24sht-16264-s","открыть")</f>
        <v>открыть</v>
      </c>
    </row>
    <row r="723" spans="1:9" x14ac:dyDescent="0.25">
      <c r="A723" t="s">
        <v>3175</v>
      </c>
      <c r="B723" t="s">
        <v>3176</v>
      </c>
      <c r="C723" t="s">
        <v>1751</v>
      </c>
      <c r="D723" s="8">
        <v>8</v>
      </c>
      <c r="E723" s="9">
        <v>285.92</v>
      </c>
      <c r="F723" s="8">
        <v>1</v>
      </c>
      <c r="G723" s="10"/>
      <c r="H723" s="9" t="str">
        <f>IF(G723="","",E723*G723)</f>
        <v/>
      </c>
      <c r="I723" s="11" t="str">
        <f>HYPERLINK("https://optomposuda.ru/product/tarelka-malenkaya-korallovyy-zhemchug-21-sm","открыть")</f>
        <v>открыть</v>
      </c>
    </row>
    <row r="724" spans="1:9" x14ac:dyDescent="0.25">
      <c r="A724" t="s">
        <v>3177</v>
      </c>
      <c r="B724" t="s">
        <v>3178</v>
      </c>
      <c r="C724" t="s">
        <v>1751</v>
      </c>
      <c r="D724" s="8">
        <v>1</v>
      </c>
      <c r="E724" s="9">
        <v>340.53</v>
      </c>
      <c r="F724" s="8">
        <v>31</v>
      </c>
      <c r="G724" s="10"/>
      <c r="H724" s="9" t="str">
        <f>IF(G724="","",E724*G724)</f>
        <v/>
      </c>
      <c r="I724" s="11" t="str">
        <f>HYPERLINK("https://optomposuda.ru/product/tarelka-malenkaya-zhasmin-goluboy-21-cm-kor-8sht-16296-1","открыть")</f>
        <v>открыть</v>
      </c>
    </row>
    <row r="725" spans="1:9" x14ac:dyDescent="0.25">
      <c r="A725" t="s">
        <v>3179</v>
      </c>
      <c r="B725" t="s">
        <v>3180</v>
      </c>
      <c r="C725" t="s">
        <v>1751</v>
      </c>
      <c r="D725" s="8">
        <v>1</v>
      </c>
      <c r="E725" s="9">
        <v>273.52</v>
      </c>
      <c r="F725" s="8">
        <v>8</v>
      </c>
      <c r="G725" s="10"/>
      <c r="H725" s="9" t="str">
        <f>IF(G725="","",E725*G725)</f>
        <v/>
      </c>
      <c r="I725" s="11" t="str">
        <f>HYPERLINK("https://optomposuda.ru/product/tarelka-malenkaya-zhasmin-krasnyy-21-cm-kor-8sht-16296-2","открыть")</f>
        <v>открыть</v>
      </c>
    </row>
    <row r="726" spans="1:9" x14ac:dyDescent="0.25">
      <c r="A726" t="s">
        <v>3181</v>
      </c>
      <c r="B726" t="s">
        <v>3182</v>
      </c>
      <c r="C726" t="s">
        <v>1751</v>
      </c>
      <c r="D726" s="8">
        <v>1</v>
      </c>
      <c r="E726" s="9">
        <v>340.53</v>
      </c>
      <c r="F726" s="8">
        <v>162</v>
      </c>
      <c r="G726" s="10"/>
      <c r="H726" s="9" t="str">
        <f>IF(G726="","",E726*G726)</f>
        <v/>
      </c>
      <c r="I726" s="11" t="str">
        <f>HYPERLINK("https://optomposuda.ru/product/tarelka-malenkaya-zhasmin-kremovyy-21-cm-kor-8sht-16296-3","открыть")</f>
        <v>открыть</v>
      </c>
    </row>
    <row r="727" spans="1:9" x14ac:dyDescent="0.25">
      <c r="A727" t="s">
        <v>3183</v>
      </c>
      <c r="B727" t="s">
        <v>3184</v>
      </c>
      <c r="C727" t="s">
        <v>1751</v>
      </c>
      <c r="D727" s="8">
        <v>7</v>
      </c>
      <c r="E727" s="9">
        <v>239.37</v>
      </c>
      <c r="F727" s="8">
        <v>4</v>
      </c>
      <c r="G727" s="10"/>
      <c r="H727" s="9" t="str">
        <f>IF(G727="","",E727*G727)</f>
        <v/>
      </c>
      <c r="I727" s="11" t="str">
        <f>HYPERLINK("https://optomposuda.ru/product/tarelka-mozayka-32-sm-miks","открыть")</f>
        <v>открыть</v>
      </c>
    </row>
    <row r="728" spans="1:9" x14ac:dyDescent="0.25">
      <c r="A728" t="s">
        <v>3185</v>
      </c>
      <c r="B728" t="s">
        <v>3186</v>
      </c>
      <c r="C728" t="s">
        <v>1751</v>
      </c>
      <c r="D728" s="8">
        <v>4</v>
      </c>
      <c r="E728" s="9">
        <v>883.98</v>
      </c>
      <c r="F728" s="8">
        <v>124</v>
      </c>
      <c r="G728" s="10"/>
      <c r="H728" s="9" t="str">
        <f>IF(G728="","",E728*G728)</f>
        <v/>
      </c>
      <c r="I728" s="11" t="str">
        <f>HYPERLINK("https://optomposuda.ru/product/tarelka-na-nozhke-barokko-blek-28sm-15769a-1","открыть")</f>
        <v>открыть</v>
      </c>
    </row>
    <row r="729" spans="1:9" x14ac:dyDescent="0.25">
      <c r="A729" t="s">
        <v>3187</v>
      </c>
      <c r="B729" t="s">
        <v>3188</v>
      </c>
      <c r="C729" t="s">
        <v>1751</v>
      </c>
      <c r="D729" s="8">
        <v>4</v>
      </c>
      <c r="E729" s="9">
        <v>799.01</v>
      </c>
      <c r="F729" s="8">
        <v>135</v>
      </c>
      <c r="G729" s="10"/>
      <c r="H729" s="9" t="str">
        <f>IF(G729="","",E729*G729)</f>
        <v/>
      </c>
      <c r="I729" s="11" t="str">
        <f>HYPERLINK("https://optomposuda.ru/product/tarelka-na-nozhke-barokko-gold-28sm-15769a-2","открыть")</f>
        <v>открыть</v>
      </c>
    </row>
    <row r="730" spans="1:9" x14ac:dyDescent="0.25">
      <c r="A730" t="s">
        <v>3189</v>
      </c>
      <c r="B730" t="s">
        <v>3190</v>
      </c>
      <c r="C730" t="s">
        <v>1751</v>
      </c>
      <c r="D730" s="8">
        <v>4</v>
      </c>
      <c r="E730" s="9">
        <v>1096.65</v>
      </c>
      <c r="F730" s="8">
        <v>149</v>
      </c>
      <c r="G730" s="10"/>
      <c r="H730" s="9" t="str">
        <f>IF(G730="","",E730*G730)</f>
        <v/>
      </c>
      <c r="I730" s="11" t="str">
        <f>HYPERLINK("https://optomposuda.ru/product/tarelka-na-nozhke-rivera-bronza-28sm-15738a-2","открыть")</f>
        <v>открыть</v>
      </c>
    </row>
    <row r="731" spans="1:9" x14ac:dyDescent="0.25">
      <c r="A731" t="s">
        <v>3191</v>
      </c>
      <c r="B731" t="s">
        <v>3192</v>
      </c>
      <c r="C731" t="s">
        <v>1751</v>
      </c>
      <c r="D731" s="8">
        <v>4</v>
      </c>
      <c r="E731" s="9">
        <v>926.26</v>
      </c>
      <c r="F731" s="8">
        <v>125</v>
      </c>
      <c r="G731" s="10"/>
      <c r="H731" s="9" t="str">
        <f>IF(G731="","",E731*G731)</f>
        <v/>
      </c>
      <c r="I731" s="11" t="str">
        <f>HYPERLINK("https://optomposuda.ru/product/tarelka-na-nozhke-rivera-zhemchug-28sm-15738a-1","открыть")</f>
        <v>открыть</v>
      </c>
    </row>
    <row r="732" spans="1:9" x14ac:dyDescent="0.25">
      <c r="A732" t="s">
        <v>3193</v>
      </c>
      <c r="B732" t="s">
        <v>3194</v>
      </c>
      <c r="C732" t="s">
        <v>1751</v>
      </c>
      <c r="D732" s="8">
        <v>1</v>
      </c>
      <c r="E732" s="9">
        <v>1086.94</v>
      </c>
      <c r="F732" s="8">
        <v>170</v>
      </c>
      <c r="G732" s="10"/>
      <c r="H732" s="9" t="str">
        <f>IF(G732="","",E732*G732)</f>
        <v/>
      </c>
      <c r="I732" s="11" t="str">
        <f>HYPERLINK("https://optomposuda.ru/product/tarelka-na-nozhke-rubin-33sm-vysota-nozhki-6sm-kor-4sht-17544-a-2","открыть")</f>
        <v>открыть</v>
      </c>
    </row>
    <row r="733" spans="1:9" x14ac:dyDescent="0.25">
      <c r="A733" t="s">
        <v>3195</v>
      </c>
      <c r="B733" t="s">
        <v>3196</v>
      </c>
      <c r="C733" t="s">
        <v>1751</v>
      </c>
      <c r="D733" s="8">
        <v>4</v>
      </c>
      <c r="E733" s="9">
        <v>783.22</v>
      </c>
      <c r="F733" s="8">
        <v>105</v>
      </c>
      <c r="G733" s="10"/>
      <c r="H733" s="9" t="str">
        <f>IF(G733="","",E733*G733)</f>
        <v/>
      </c>
      <c r="I733" s="11" t="str">
        <f>HYPERLINK("https://optomposuda.ru/product/tarelka-na-nozhke-eleonora-bronza-28sm-15723a-2","открыть")</f>
        <v>открыть</v>
      </c>
    </row>
    <row r="734" spans="1:9" x14ac:dyDescent="0.25">
      <c r="A734" t="s">
        <v>3197</v>
      </c>
      <c r="B734" t="s">
        <v>3198</v>
      </c>
      <c r="C734" t="s">
        <v>1751</v>
      </c>
      <c r="D734" s="8">
        <v>4</v>
      </c>
      <c r="E734" s="9">
        <v>783.22</v>
      </c>
      <c r="F734" s="8">
        <v>83</v>
      </c>
      <c r="G734" s="10"/>
      <c r="H734" s="9" t="str">
        <f>IF(G734="","",E734*G734)</f>
        <v/>
      </c>
      <c r="I734" s="11" t="str">
        <f>HYPERLINK("https://optomposuda.ru/product/tarelka-na-nozhke-eleonora-patina-28sm-15723a-1","открыть")</f>
        <v>открыть</v>
      </c>
    </row>
    <row r="735" spans="1:9" x14ac:dyDescent="0.25">
      <c r="A735" t="s">
        <v>3199</v>
      </c>
      <c r="B735" t="s">
        <v>3200</v>
      </c>
      <c r="C735" t="s">
        <v>1751</v>
      </c>
      <c r="D735" s="8">
        <v>4</v>
      </c>
      <c r="E735" s="9">
        <v>817.68</v>
      </c>
      <c r="F735" s="8">
        <v>23</v>
      </c>
      <c r="G735" s="10"/>
      <c r="H735" s="9" t="str">
        <f>IF(G735="","",E735*G735)</f>
        <v/>
      </c>
      <c r="I735" s="11" t="str">
        <f>HYPERLINK("https://optomposuda.ru/product/tarelka-na-nozhke-elis-28-sm-alyy","открыть")</f>
        <v>открыть</v>
      </c>
    </row>
    <row r="736" spans="1:9" x14ac:dyDescent="0.25">
      <c r="A736" t="s">
        <v>3201</v>
      </c>
      <c r="B736" t="s">
        <v>3202</v>
      </c>
      <c r="C736" t="s">
        <v>1751</v>
      </c>
      <c r="D736" s="8">
        <v>4</v>
      </c>
      <c r="E736" s="9">
        <v>817.68</v>
      </c>
      <c r="F736" s="8">
        <v>54</v>
      </c>
      <c r="G736" s="10"/>
      <c r="H736" s="9" t="str">
        <f>IF(G736="","",E736*G736)</f>
        <v/>
      </c>
      <c r="I736" s="11" t="str">
        <f>HYPERLINK("https://optomposuda.ru/product/tarelka-na-nozhke-elis-28-sm-zoloto","открыть")</f>
        <v>открыть</v>
      </c>
    </row>
    <row r="737" spans="1:9" x14ac:dyDescent="0.25">
      <c r="A737" t="s">
        <v>3203</v>
      </c>
      <c r="B737" t="s">
        <v>3204</v>
      </c>
      <c r="C737" t="s">
        <v>1751</v>
      </c>
      <c r="D737" s="8">
        <v>4</v>
      </c>
      <c r="E737" s="9">
        <v>817.68</v>
      </c>
      <c r="F737" s="8">
        <v>58</v>
      </c>
      <c r="G737" s="10"/>
      <c r="H737" s="9" t="str">
        <f>IF(G737="","",E737*G737)</f>
        <v/>
      </c>
      <c r="I737" s="11" t="str">
        <f>HYPERLINK("https://optomposuda.ru/product/tarelka-na-nozhke-elis-28-sm-platina","открыть")</f>
        <v>открыть</v>
      </c>
    </row>
    <row r="738" spans="1:9" x14ac:dyDescent="0.25">
      <c r="A738" t="s">
        <v>3205</v>
      </c>
      <c r="B738" t="s">
        <v>3206</v>
      </c>
      <c r="C738" t="s">
        <v>1751</v>
      </c>
      <c r="D738" s="8">
        <v>4</v>
      </c>
      <c r="E738" s="9">
        <v>498.43</v>
      </c>
      <c r="F738" s="8">
        <v>129</v>
      </c>
      <c r="G738" s="10"/>
      <c r="H738" s="9" t="str">
        <f>IF(G738="","",E738*G738)</f>
        <v/>
      </c>
      <c r="I738" s="11" t="str">
        <f>HYPERLINK("https://optomposuda.ru/product/tarelka-na-nozhke-21-sm-izmir","открыть")</f>
        <v>открыть</v>
      </c>
    </row>
    <row r="739" spans="1:9" x14ac:dyDescent="0.25">
      <c r="A739" t="s">
        <v>3207</v>
      </c>
      <c r="B739" t="s">
        <v>3208</v>
      </c>
      <c r="C739" t="s">
        <v>1751</v>
      </c>
      <c r="D739" s="8">
        <v>8</v>
      </c>
      <c r="E739" s="9">
        <v>385.96</v>
      </c>
      <c r="F739" s="8">
        <v>6</v>
      </c>
      <c r="G739" s="10"/>
      <c r="H739" s="9" t="str">
        <f>IF(G739="","",E739*G739)</f>
        <v/>
      </c>
      <c r="I739" s="11" t="str">
        <f>HYPERLINK("https://optomposuda.ru/product/tarelka-s-bortom-16-sm-dary-sada-tomat","открыть")</f>
        <v>открыть</v>
      </c>
    </row>
    <row r="740" spans="1:9" x14ac:dyDescent="0.25">
      <c r="A740" t="s">
        <v>3209</v>
      </c>
      <c r="B740" t="s">
        <v>3210</v>
      </c>
      <c r="C740" t="s">
        <v>1751</v>
      </c>
      <c r="D740" s="8">
        <v>6</v>
      </c>
      <c r="E740" s="9">
        <v>350.41</v>
      </c>
      <c r="F740" s="8">
        <v>261</v>
      </c>
      <c r="G740" s="10"/>
      <c r="H740" s="9" t="str">
        <f>IF(G740="","",E740*G740)</f>
        <v/>
      </c>
      <c r="I740" s="11" t="str">
        <f>HYPERLINK("https://optomposuda.ru/product/tarelka-s-bortom-21-sm-mystic","открыть")</f>
        <v>открыть</v>
      </c>
    </row>
    <row r="741" spans="1:9" x14ac:dyDescent="0.25">
      <c r="A741" t="s">
        <v>3211</v>
      </c>
      <c r="B741" t="s">
        <v>3212</v>
      </c>
      <c r="C741" t="s">
        <v>1751</v>
      </c>
      <c r="D741" s="8">
        <v>6</v>
      </c>
      <c r="E741" s="9">
        <v>247.54</v>
      </c>
      <c r="F741" s="8">
        <v>309</v>
      </c>
      <c r="G741" s="10"/>
      <c r="H741" s="9" t="str">
        <f>IF(G741="","",E741*G741)</f>
        <v/>
      </c>
      <c r="I741" s="11" t="str">
        <f>HYPERLINK("https://optomposuda.ru/product/tarelka-s-bortom-21-sm-rio","открыть")</f>
        <v>открыть</v>
      </c>
    </row>
    <row r="742" spans="1:9" x14ac:dyDescent="0.25">
      <c r="A742" t="s">
        <v>3213</v>
      </c>
      <c r="B742" t="s">
        <v>3214</v>
      </c>
      <c r="C742" t="s">
        <v>1751</v>
      </c>
      <c r="D742" s="8">
        <v>6</v>
      </c>
      <c r="E742" s="9">
        <v>634.37</v>
      </c>
      <c r="F742" s="8">
        <v>244</v>
      </c>
      <c r="G742" s="10"/>
      <c r="H742" s="9" t="str">
        <f>IF(G742="","",E742*G742)</f>
        <v/>
      </c>
      <c r="I742" s="11" t="str">
        <f>HYPERLINK("https://optomposuda.ru/product/tarelka-s-bortom-28-sm-mystic","открыть")</f>
        <v>открыть</v>
      </c>
    </row>
    <row r="743" spans="1:9" x14ac:dyDescent="0.25">
      <c r="A743" t="s">
        <v>3215</v>
      </c>
      <c r="B743" t="s">
        <v>3216</v>
      </c>
      <c r="C743" t="s">
        <v>1751</v>
      </c>
      <c r="D743" s="8">
        <v>6</v>
      </c>
      <c r="E743" s="9">
        <v>465.2</v>
      </c>
      <c r="F743" s="8">
        <v>162</v>
      </c>
      <c r="G743" s="10"/>
      <c r="H743" s="9" t="str">
        <f>IF(G743="","",E743*G743)</f>
        <v/>
      </c>
      <c r="I743" s="11" t="str">
        <f>HYPERLINK("https://optomposuda.ru/product/tarelka-s-bortom-28-sm-rio","открыть")</f>
        <v>открыть</v>
      </c>
    </row>
    <row r="744" spans="1:9" x14ac:dyDescent="0.25">
      <c r="A744" t="s">
        <v>3217</v>
      </c>
      <c r="B744" t="s">
        <v>3218</v>
      </c>
      <c r="C744" t="s">
        <v>1751</v>
      </c>
      <c r="D744" s="8">
        <v>4</v>
      </c>
      <c r="E744" s="9">
        <v>604.16</v>
      </c>
      <c r="F744" s="8">
        <v>143</v>
      </c>
      <c r="G744" s="10"/>
      <c r="H744" s="9" t="str">
        <f>IF(G744="","",E744*G744)</f>
        <v/>
      </c>
      <c r="I744" s="11" t="str">
        <f>HYPERLINK("https://optomposuda.ru/product/tarelka-s-bortom-na-nozhke-21-sm-mystic","открыть")</f>
        <v>открыть</v>
      </c>
    </row>
    <row r="745" spans="1:9" x14ac:dyDescent="0.25">
      <c r="A745" t="s">
        <v>3219</v>
      </c>
      <c r="B745" t="s">
        <v>3220</v>
      </c>
      <c r="C745" t="s">
        <v>1751</v>
      </c>
      <c r="D745" s="8">
        <v>4</v>
      </c>
      <c r="E745" s="9">
        <v>498.43</v>
      </c>
      <c r="F745" s="8">
        <v>301</v>
      </c>
      <c r="G745" s="10"/>
      <c r="H745" s="9" t="str">
        <f>IF(G745="","",E745*G745)</f>
        <v/>
      </c>
      <c r="I745" s="11" t="str">
        <f>HYPERLINK("https://optomposuda.ru/product/tarelka-s-bortom-na-nozhke-21-sm-rio","открыть")</f>
        <v>открыть</v>
      </c>
    </row>
    <row r="746" spans="1:9" x14ac:dyDescent="0.25">
      <c r="A746" t="s">
        <v>3221</v>
      </c>
      <c r="B746" t="s">
        <v>3222</v>
      </c>
      <c r="C746" t="s">
        <v>1751</v>
      </c>
      <c r="D746" s="8">
        <v>4</v>
      </c>
      <c r="E746" s="9">
        <v>951.55</v>
      </c>
      <c r="F746" s="8">
        <v>131</v>
      </c>
      <c r="G746" s="10"/>
      <c r="H746" s="9" t="str">
        <f>IF(G746="","",E746*G746)</f>
        <v/>
      </c>
      <c r="I746" s="11" t="str">
        <f>HYPERLINK("https://optomposuda.ru/product/tarelka-s-bortom-na-nozhke-28-sm-mystic","открыть")</f>
        <v>открыть</v>
      </c>
    </row>
    <row r="747" spans="1:9" x14ac:dyDescent="0.25">
      <c r="A747" t="s">
        <v>3223</v>
      </c>
      <c r="B747" t="s">
        <v>3224</v>
      </c>
      <c r="C747" t="s">
        <v>1751</v>
      </c>
      <c r="D747" s="8">
        <v>4</v>
      </c>
      <c r="E747" s="9">
        <v>709.89</v>
      </c>
      <c r="F747" s="8">
        <v>180</v>
      </c>
      <c r="G747" s="10"/>
      <c r="H747" s="9" t="str">
        <f>IF(G747="","",E747*G747)</f>
        <v/>
      </c>
      <c r="I747" s="11" t="str">
        <f>HYPERLINK("https://optomposuda.ru/product/tarelka-s-bortom-na-nozhke-28-sm-rio","открыть")</f>
        <v>открыть</v>
      </c>
    </row>
    <row r="748" spans="1:9" x14ac:dyDescent="0.25">
      <c r="A748" t="s">
        <v>3225</v>
      </c>
      <c r="B748" t="s">
        <v>3226</v>
      </c>
      <c r="C748" t="s">
        <v>1751</v>
      </c>
      <c r="D748" s="8">
        <v>4</v>
      </c>
      <c r="E748" s="9">
        <v>1217.38</v>
      </c>
      <c r="F748" s="8">
        <v>157</v>
      </c>
      <c r="G748" s="10"/>
      <c r="H748" s="9" t="str">
        <f>IF(G748="","",E748*G748)</f>
        <v/>
      </c>
      <c r="I748" s="11" t="str">
        <f>HYPERLINK("https://optomposuda.ru/product/tarelka-s-bortom-na-nozhke-32-sm-mystic","открыть")</f>
        <v>открыть</v>
      </c>
    </row>
    <row r="749" spans="1:9" x14ac:dyDescent="0.25">
      <c r="A749" t="s">
        <v>3227</v>
      </c>
      <c r="B749" t="s">
        <v>3228</v>
      </c>
      <c r="C749" t="s">
        <v>1751</v>
      </c>
      <c r="D749" s="8">
        <v>4</v>
      </c>
      <c r="E749" s="9">
        <v>570.93</v>
      </c>
      <c r="F749" s="8">
        <v>142</v>
      </c>
      <c r="G749" s="10"/>
      <c r="H749" s="9" t="str">
        <f>IF(G749="","",E749*G749)</f>
        <v/>
      </c>
      <c r="I749" s="11" t="str">
        <f>HYPERLINK("https://optomposuda.ru/product/tarelka-s-vysokim-bortom-21-sm-mystic","открыть")</f>
        <v>открыть</v>
      </c>
    </row>
    <row r="750" spans="1:9" x14ac:dyDescent="0.25">
      <c r="A750" t="s">
        <v>3229</v>
      </c>
      <c r="B750" t="s">
        <v>3230</v>
      </c>
      <c r="C750" t="s">
        <v>1751</v>
      </c>
      <c r="D750" s="8">
        <v>6</v>
      </c>
      <c r="E750" s="9">
        <v>343.54</v>
      </c>
      <c r="F750" s="8">
        <v>2</v>
      </c>
      <c r="G750" s="10"/>
      <c r="H750" s="9" t="str">
        <f>IF(G750="","",E750*G750)</f>
        <v/>
      </c>
      <c r="I750" s="11" t="str">
        <f>HYPERLINK("https://optomposuda.ru/product/tarelka-srednyaya-korichnevyy-turmalin-28-sm","открыть")</f>
        <v>открыть</v>
      </c>
    </row>
    <row r="751" spans="1:9" x14ac:dyDescent="0.25">
      <c r="A751" t="s">
        <v>3231</v>
      </c>
      <c r="B751" t="s">
        <v>3232</v>
      </c>
      <c r="C751" t="s">
        <v>1751</v>
      </c>
      <c r="D751" s="8">
        <v>6</v>
      </c>
      <c r="E751" s="9">
        <v>453.55</v>
      </c>
      <c r="F751" s="8">
        <v>71</v>
      </c>
      <c r="G751" s="10"/>
      <c r="H751" s="9" t="str">
        <f>IF(G751="","",E751*G751)</f>
        <v/>
      </c>
      <c r="I751" s="11" t="str">
        <f>HYPERLINK("https://optomposuda.ru/product/tarelka-srednyaya-opal-belyy-28-sm","открыть")</f>
        <v>открыть</v>
      </c>
    </row>
    <row r="752" spans="1:9" x14ac:dyDescent="0.25">
      <c r="A752" t="s">
        <v>3233</v>
      </c>
      <c r="B752" t="s">
        <v>3234</v>
      </c>
      <c r="C752" t="s">
        <v>1751</v>
      </c>
      <c r="D752" s="8">
        <v>6</v>
      </c>
      <c r="E752" s="9">
        <v>458.76</v>
      </c>
      <c r="F752" s="8">
        <v>7</v>
      </c>
      <c r="G752" s="10"/>
      <c r="H752" s="9" t="str">
        <f>IF(G752="","",E752*G752)</f>
        <v/>
      </c>
      <c r="I752" s="11" t="str">
        <f>HYPERLINK("https://optomposuda.ru/product/tarelka-srednyaya-tropiki-den-i-noch-28-sm","открыть")</f>
        <v>открыть</v>
      </c>
    </row>
    <row r="753" spans="1:9" x14ac:dyDescent="0.25">
      <c r="A753" t="s">
        <v>3235</v>
      </c>
      <c r="B753" t="s">
        <v>3236</v>
      </c>
      <c r="C753" t="s">
        <v>1751</v>
      </c>
      <c r="D753" s="8">
        <v>1</v>
      </c>
      <c r="E753" s="9">
        <v>438.02</v>
      </c>
      <c r="F753" s="8">
        <v>7</v>
      </c>
      <c r="G753" s="10"/>
      <c r="H753" s="9" t="str">
        <f>IF(G753="","",E753*G753)</f>
        <v/>
      </c>
      <c r="I753" s="11" t="str">
        <f>HYPERLINK("https://optomposuda.ru/product/tarelka-srednyaya-zhasmin-goluboy-28-cm-kor-6sht-16297-1","открыть")</f>
        <v>открыть</v>
      </c>
    </row>
    <row r="754" spans="1:9" x14ac:dyDescent="0.25">
      <c r="A754" t="s">
        <v>3237</v>
      </c>
      <c r="B754" t="s">
        <v>3238</v>
      </c>
      <c r="C754" t="s">
        <v>1751</v>
      </c>
      <c r="D754" s="8">
        <v>1</v>
      </c>
      <c r="E754" s="9">
        <v>163.8</v>
      </c>
      <c r="F754" s="8">
        <v>55</v>
      </c>
      <c r="G754" s="10"/>
      <c r="H754" s="9" t="str">
        <f>IF(G754="","",E754*G754)</f>
        <v/>
      </c>
      <c r="I754" s="11" t="str">
        <f>HYPERLINK("https://optomposuda.ru/product/tarelka-figurnaya-28-sm","открыть")</f>
        <v>открыть</v>
      </c>
    </row>
    <row r="755" spans="1:9" x14ac:dyDescent="0.25">
      <c r="A755" t="s">
        <v>3239</v>
      </c>
      <c r="B755" t="s">
        <v>3240</v>
      </c>
      <c r="C755" t="s">
        <v>1751</v>
      </c>
      <c r="D755" s="8">
        <v>1</v>
      </c>
      <c r="E755" s="9">
        <v>103.94</v>
      </c>
      <c r="F755" s="8">
        <v>22</v>
      </c>
      <c r="G755" s="10"/>
      <c r="H755" s="9" t="str">
        <f>IF(G755="","",E755*G755)</f>
        <v/>
      </c>
      <c r="I755" s="11" t="str">
        <f>HYPERLINK("https://optomposuda.ru/product/tarelka-figurnaya-prozrachnaya-horece-28-sm","открыть")</f>
        <v>открыть</v>
      </c>
    </row>
    <row r="756" spans="1:9" x14ac:dyDescent="0.25">
      <c r="A756" t="s">
        <v>3241</v>
      </c>
      <c r="B756" t="s">
        <v>3242</v>
      </c>
      <c r="C756" t="s">
        <v>1751</v>
      </c>
      <c r="D756" s="8">
        <v>6</v>
      </c>
      <c r="E756" s="9">
        <v>674.06</v>
      </c>
      <c r="F756" s="8">
        <v>186</v>
      </c>
      <c r="G756" s="10"/>
      <c r="H756" s="9" t="str">
        <f>IF(G756="","",E756*G756)</f>
        <v/>
      </c>
      <c r="I756" s="11" t="str">
        <f>HYPERLINK("https://optomposuda.ru/product/tarelka-c-bortom-viktoriya-marroun-28-sm","открыть")</f>
        <v>открыть</v>
      </c>
    </row>
    <row r="757" spans="1:9" x14ac:dyDescent="0.25">
      <c r="A757" t="s">
        <v>3243</v>
      </c>
      <c r="B757" t="s">
        <v>3244</v>
      </c>
      <c r="C757" t="s">
        <v>1751</v>
      </c>
      <c r="D757" s="8">
        <v>24</v>
      </c>
      <c r="E757" s="9">
        <v>250.85</v>
      </c>
      <c r="F757" s="8">
        <v>207</v>
      </c>
      <c r="G757" s="10"/>
      <c r="H757" s="9" t="str">
        <f>IF(G757="","",E757*G757)</f>
        <v/>
      </c>
      <c r="I757" s="11" t="str">
        <f>HYPERLINK("https://optomposuda.ru/product/tarelka-c-bortom-trend-18-sm-brown","открыть")</f>
        <v>открыть</v>
      </c>
    </row>
    <row r="758" spans="1:9" x14ac:dyDescent="0.25">
      <c r="A758" t="s">
        <v>3245</v>
      </c>
      <c r="B758" t="s">
        <v>3246</v>
      </c>
      <c r="C758" t="s">
        <v>1751</v>
      </c>
      <c r="D758" s="8">
        <v>6</v>
      </c>
      <c r="E758" s="9">
        <v>265.46</v>
      </c>
      <c r="F758" s="8">
        <v>94</v>
      </c>
      <c r="G758" s="10"/>
      <c r="H758" s="9" t="str">
        <f>IF(G758="","",E758*G758)</f>
        <v/>
      </c>
      <c r="I758" s="11" t="str">
        <f>HYPERLINK("https://optomposuda.ru/product/tarelka-c-bortom-trend-21-sm-brown","открыть")</f>
        <v>открыть</v>
      </c>
    </row>
    <row r="759" spans="1:9" x14ac:dyDescent="0.25">
      <c r="A759" t="s">
        <v>3247</v>
      </c>
      <c r="B759" t="s">
        <v>3248</v>
      </c>
      <c r="C759" t="s">
        <v>1751</v>
      </c>
      <c r="D759" s="8">
        <v>6</v>
      </c>
      <c r="E759" s="9">
        <v>330.77</v>
      </c>
      <c r="F759" s="8">
        <v>1</v>
      </c>
      <c r="G759" s="10"/>
      <c r="H759" s="9" t="str">
        <f>IF(G759="","",E759*G759)</f>
        <v/>
      </c>
      <c r="I759" s="11" t="str">
        <f>HYPERLINK("https://optomposuda.ru/product/tarelka-c-bortom-trend-21-sm-grey","открыть")</f>
        <v>открыть</v>
      </c>
    </row>
    <row r="760" spans="1:9" x14ac:dyDescent="0.25">
      <c r="A760" t="s">
        <v>3249</v>
      </c>
      <c r="B760" t="s">
        <v>3250</v>
      </c>
      <c r="C760" t="s">
        <v>1751</v>
      </c>
      <c r="D760" s="8">
        <v>6</v>
      </c>
      <c r="E760" s="9">
        <v>508.53</v>
      </c>
      <c r="F760" s="8">
        <v>52</v>
      </c>
      <c r="G760" s="10"/>
      <c r="H760" s="9" t="str">
        <f>IF(G760="","",E760*G760)</f>
        <v/>
      </c>
      <c r="I760" s="11" t="str">
        <f>HYPERLINK("https://optomposuda.ru/product/tarelka-c-bortom-trend-28-sm-brown","открыть")</f>
        <v>открыть</v>
      </c>
    </row>
    <row r="761" spans="1:9" x14ac:dyDescent="0.25">
      <c r="A761" t="s">
        <v>3251</v>
      </c>
      <c r="B761" t="s">
        <v>3252</v>
      </c>
      <c r="C761" t="s">
        <v>1751</v>
      </c>
      <c r="D761" s="8">
        <v>6</v>
      </c>
      <c r="E761" s="9">
        <v>594.94</v>
      </c>
      <c r="F761" s="8">
        <v>122</v>
      </c>
      <c r="G761" s="10"/>
      <c r="H761" s="9" t="str">
        <f>IF(G761="","",E761*G761)</f>
        <v/>
      </c>
      <c r="I761" s="11" t="str">
        <f>HYPERLINK("https://optomposuda.ru/product/tarelka-c-bortom-trend-28-sm-cream","открыть")</f>
        <v>открыть</v>
      </c>
    </row>
    <row r="762" spans="1:9" x14ac:dyDescent="0.25">
      <c r="A762" t="s">
        <v>3253</v>
      </c>
      <c r="B762" t="s">
        <v>3254</v>
      </c>
      <c r="C762" t="s">
        <v>1751</v>
      </c>
      <c r="D762" s="8">
        <v>6</v>
      </c>
      <c r="E762" s="9">
        <v>804.21</v>
      </c>
      <c r="F762" s="8">
        <v>101</v>
      </c>
      <c r="G762" s="10"/>
      <c r="H762" s="9" t="str">
        <f>IF(G762="","",E762*G762)</f>
        <v/>
      </c>
      <c r="I762" s="11" t="str">
        <f>HYPERLINK("https://optomposuda.ru/product/tarelka-c-bortom-trend-32-sm-brown","открыть")</f>
        <v>открыть</v>
      </c>
    </row>
    <row r="763" spans="1:9" x14ac:dyDescent="0.25">
      <c r="A763" t="s">
        <v>3255</v>
      </c>
      <c r="B763" t="s">
        <v>3256</v>
      </c>
      <c r="C763" t="s">
        <v>1751</v>
      </c>
      <c r="D763" s="8">
        <v>8</v>
      </c>
      <c r="E763" s="9">
        <v>355.5</v>
      </c>
      <c r="F763" s="8">
        <v>126</v>
      </c>
      <c r="G763" s="10"/>
      <c r="H763" s="9" t="str">
        <f>IF(G763="","",E763*G763)</f>
        <v/>
      </c>
      <c r="I763" s="11" t="str">
        <f>HYPERLINK("https://optomposuda.ru/product/tarelka-c-bortom-victoria-azzurro-21-sm","открыть")</f>
        <v>открыть</v>
      </c>
    </row>
    <row r="764" spans="1:9" x14ac:dyDescent="0.25">
      <c r="A764" t="s">
        <v>3257</v>
      </c>
      <c r="B764" t="s">
        <v>3258</v>
      </c>
      <c r="C764" t="s">
        <v>1751</v>
      </c>
      <c r="D764" s="8">
        <v>6</v>
      </c>
      <c r="E764" s="9">
        <v>683.15</v>
      </c>
      <c r="F764" s="8">
        <v>187</v>
      </c>
      <c r="G764" s="10"/>
      <c r="H764" s="9" t="str">
        <f>IF(G764="","",E764*G764)</f>
        <v/>
      </c>
      <c r="I764" s="11" t="str">
        <f>HYPERLINK("https://optomposuda.ru/product/tarelka-c-bortom-victoria-azzurro-28-sm","открыть")</f>
        <v>открыть</v>
      </c>
    </row>
    <row r="765" spans="1:9" x14ac:dyDescent="0.25">
      <c r="A765" t="s">
        <v>3259</v>
      </c>
      <c r="B765" t="s">
        <v>3260</v>
      </c>
      <c r="C765" t="s">
        <v>1751</v>
      </c>
      <c r="D765" s="8">
        <v>6</v>
      </c>
      <c r="E765" s="9">
        <v>923.52</v>
      </c>
      <c r="F765" s="8">
        <v>469</v>
      </c>
      <c r="G765" s="10"/>
      <c r="H765" s="9" t="str">
        <f>IF(G765="","",E765*G765)</f>
        <v/>
      </c>
      <c r="I765" s="11" t="str">
        <f>HYPERLINK("https://optomposuda.ru/product/tarelka-c-bortom-victoria-azzurro-32-sm","открыть")</f>
        <v>открыть</v>
      </c>
    </row>
    <row r="766" spans="1:9" x14ac:dyDescent="0.25">
      <c r="A766" t="s">
        <v>3261</v>
      </c>
      <c r="B766" t="s">
        <v>3262</v>
      </c>
      <c r="C766" t="s">
        <v>1751</v>
      </c>
      <c r="D766" s="8">
        <v>6</v>
      </c>
      <c r="E766" s="9">
        <v>923.52</v>
      </c>
      <c r="F766" s="8">
        <v>406</v>
      </c>
      <c r="G766" s="10"/>
      <c r="H766" s="9" t="str">
        <f>IF(G766="","",E766*G766)</f>
        <v/>
      </c>
      <c r="I766" s="11" t="str">
        <f>HYPERLINK("https://optomposuda.ru/product/tarelka-c-bortom-victoria-marrone-32-sm","открыть")</f>
        <v>открыть</v>
      </c>
    </row>
    <row r="767" spans="1:9" x14ac:dyDescent="0.25">
      <c r="A767" t="s">
        <v>3263</v>
      </c>
      <c r="B767" t="s">
        <v>3264</v>
      </c>
      <c r="C767" t="s">
        <v>1751</v>
      </c>
      <c r="D767" s="8">
        <v>6</v>
      </c>
      <c r="E767" s="9">
        <v>416.03</v>
      </c>
      <c r="F767" s="8">
        <v>311</v>
      </c>
      <c r="G767" s="10"/>
      <c r="H767" s="9" t="str">
        <f>IF(G767="","",E767*G767)</f>
        <v/>
      </c>
      <c r="I767" s="11" t="str">
        <f>HYPERLINK("https://optomposuda.ru/product/tarelka-c-bortom-victoria-regina-21-sm","открыть")</f>
        <v>открыть</v>
      </c>
    </row>
    <row r="768" spans="1:9" x14ac:dyDescent="0.25">
      <c r="A768" t="s">
        <v>3265</v>
      </c>
      <c r="B768" t="s">
        <v>3266</v>
      </c>
      <c r="C768" t="s">
        <v>1751</v>
      </c>
      <c r="D768" s="8">
        <v>6</v>
      </c>
      <c r="E768" s="9">
        <v>739.19</v>
      </c>
      <c r="F768" s="8">
        <v>228</v>
      </c>
      <c r="G768" s="10"/>
      <c r="H768" s="9" t="str">
        <f>IF(G768="","",E768*G768)</f>
        <v/>
      </c>
      <c r="I768" s="11" t="str">
        <f>HYPERLINK("https://optomposuda.ru/product/tarelka-c-bortom-victoria-regina-28-sm","открыть")</f>
        <v>открыть</v>
      </c>
    </row>
    <row r="769" spans="1:9" x14ac:dyDescent="0.25">
      <c r="A769" t="s">
        <v>3267</v>
      </c>
      <c r="B769" t="s">
        <v>3268</v>
      </c>
      <c r="C769" t="s">
        <v>1751</v>
      </c>
      <c r="D769" s="8">
        <v>6</v>
      </c>
      <c r="E769" s="9">
        <v>1041.15</v>
      </c>
      <c r="F769" s="8">
        <v>272</v>
      </c>
      <c r="G769" s="10"/>
      <c r="H769" s="9" t="str">
        <f>IF(G769="","",E769*G769)</f>
        <v/>
      </c>
      <c r="I769" s="11" t="str">
        <f>HYPERLINK("https://optomposuda.ru/product/tarelka-c-bortom-victoria-regina-32-sm","открыть")</f>
        <v>открыть</v>
      </c>
    </row>
    <row r="770" spans="1:9" x14ac:dyDescent="0.25">
      <c r="A770" t="s">
        <v>3269</v>
      </c>
      <c r="B770" t="s">
        <v>3270</v>
      </c>
      <c r="C770" t="s">
        <v>1751</v>
      </c>
      <c r="D770" s="8">
        <v>4</v>
      </c>
      <c r="E770" s="9">
        <v>720.79</v>
      </c>
      <c r="F770" s="8">
        <v>226</v>
      </c>
      <c r="G770" s="10"/>
      <c r="H770" s="9" t="str">
        <f>IF(G770="","",E770*G770)</f>
        <v/>
      </c>
      <c r="I770" s="11" t="str">
        <f>HYPERLINK("https://optomposuda.ru/product/tarelka-c-bortom-na-nozhke-victoria-azzurro-21-sm","открыть")</f>
        <v>открыть</v>
      </c>
    </row>
    <row r="771" spans="1:9" x14ac:dyDescent="0.25">
      <c r="A771" t="s">
        <v>3271</v>
      </c>
      <c r="B771" t="s">
        <v>3272</v>
      </c>
      <c r="C771" t="s">
        <v>1751</v>
      </c>
      <c r="D771" s="8">
        <v>4</v>
      </c>
      <c r="E771" s="9">
        <v>720.79</v>
      </c>
      <c r="F771" s="8">
        <v>120</v>
      </c>
      <c r="G771" s="10"/>
      <c r="H771" s="9" t="str">
        <f>IF(G771="","",E771*G771)</f>
        <v/>
      </c>
      <c r="I771" s="11" t="str">
        <f>HYPERLINK("https://optomposuda.ru/product/tarelka-c-bortom-na-nozhke-victoria-marrone-21-sm","открыть")</f>
        <v>открыть</v>
      </c>
    </row>
    <row r="772" spans="1:9" x14ac:dyDescent="0.25">
      <c r="A772" t="s">
        <v>3273</v>
      </c>
      <c r="B772" t="s">
        <v>3274</v>
      </c>
      <c r="C772" t="s">
        <v>1751</v>
      </c>
      <c r="D772" s="8">
        <v>4</v>
      </c>
      <c r="E772" s="9">
        <v>1017.58</v>
      </c>
      <c r="F772" s="8">
        <v>180</v>
      </c>
      <c r="G772" s="10"/>
      <c r="H772" s="9" t="str">
        <f>IF(G772="","",E772*G772)</f>
        <v/>
      </c>
      <c r="I772" s="11" t="str">
        <f>HYPERLINK("https://optomposuda.ru/product/tarelka-c-bortom-na-nozhke-victoria-marrone-28-sm","открыть")</f>
        <v>открыть</v>
      </c>
    </row>
    <row r="773" spans="1:9" x14ac:dyDescent="0.25">
      <c r="A773" t="s">
        <v>3275</v>
      </c>
      <c r="B773" t="s">
        <v>3276</v>
      </c>
      <c r="C773" t="s">
        <v>1751</v>
      </c>
      <c r="D773" s="8">
        <v>4</v>
      </c>
      <c r="E773" s="9">
        <v>720.79</v>
      </c>
      <c r="F773" s="8">
        <v>244</v>
      </c>
      <c r="G773" s="10"/>
      <c r="H773" s="9" t="str">
        <f>IF(G773="","",E773*G773)</f>
        <v/>
      </c>
      <c r="I773" s="11" t="str">
        <f>HYPERLINK("https://optomposuda.ru/product/tarelka-c-bortom-na-nozhke-victoria-regia-21-sm","открыть")</f>
        <v>открыть</v>
      </c>
    </row>
    <row r="774" spans="1:9" x14ac:dyDescent="0.25">
      <c r="A774" t="s">
        <v>3277</v>
      </c>
      <c r="B774" t="s">
        <v>3278</v>
      </c>
      <c r="C774" t="s">
        <v>1751</v>
      </c>
      <c r="D774" s="8">
        <v>4</v>
      </c>
      <c r="E774" s="9">
        <v>1054.47</v>
      </c>
      <c r="F774" s="8">
        <v>206</v>
      </c>
      <c r="G774" s="10"/>
      <c r="H774" s="9" t="str">
        <f>IF(G774="","",E774*G774)</f>
        <v/>
      </c>
      <c r="I774" s="11" t="str">
        <f>HYPERLINK("https://optomposuda.ru/product/tarelka-c-bortom-na-nozhke-victoria-regina-28-sm","открыть")</f>
        <v>открыть</v>
      </c>
    </row>
    <row r="775" spans="1:9" x14ac:dyDescent="0.25">
      <c r="A775" t="s">
        <v>3279</v>
      </c>
      <c r="B775" t="s">
        <v>3280</v>
      </c>
      <c r="C775" t="s">
        <v>1751</v>
      </c>
      <c r="D775" s="8">
        <v>1</v>
      </c>
      <c r="E775" s="9">
        <v>255.4</v>
      </c>
      <c r="F775" s="8">
        <v>1</v>
      </c>
      <c r="G775" s="10"/>
      <c r="H775" s="9" t="str">
        <f>IF(G775="","",E775*G775)</f>
        <v/>
      </c>
      <c r="I775" s="11" t="str">
        <f>HYPERLINK("https://optomposuda.ru/product/chasha-ametist-15sm-bez-upakovki-kor-8sht-17546-3","открыть")</f>
        <v>открыть</v>
      </c>
    </row>
    <row r="776" spans="1:9" x14ac:dyDescent="0.25">
      <c r="A776" t="s">
        <v>3281</v>
      </c>
      <c r="B776" t="s">
        <v>3282</v>
      </c>
      <c r="C776" t="s">
        <v>1751</v>
      </c>
      <c r="D776" s="8">
        <v>8</v>
      </c>
      <c r="E776" s="9">
        <v>326.73</v>
      </c>
      <c r="F776" s="8">
        <v>216</v>
      </c>
      <c r="G776" s="10"/>
      <c r="H776" s="9" t="str">
        <f>IF(G776="","",E776*G776)</f>
        <v/>
      </c>
      <c r="I776" s="11" t="str">
        <f>HYPERLINK("https://optomposuda.ru/product/chasha-antichnaya-roza-15-sm-zoloto-17907-g","открыть")</f>
        <v>открыть</v>
      </c>
    </row>
    <row r="777" spans="1:9" x14ac:dyDescent="0.25">
      <c r="A777" t="s">
        <v>3283</v>
      </c>
      <c r="B777" t="s">
        <v>3284</v>
      </c>
      <c r="C777" t="s">
        <v>1751</v>
      </c>
      <c r="D777" s="8">
        <v>8</v>
      </c>
      <c r="E777" s="9">
        <v>326.73</v>
      </c>
      <c r="F777" s="8">
        <v>85</v>
      </c>
      <c r="G777" s="10"/>
      <c r="H777" s="9" t="str">
        <f>IF(G777="","",E777*G777)</f>
        <v/>
      </c>
      <c r="I777" s="11" t="str">
        <f>HYPERLINK("https://optomposuda.ru/product/chasha-antichnaya-roza-15-sm-platina-17907-r","открыть")</f>
        <v>открыть</v>
      </c>
    </row>
    <row r="778" spans="1:9" x14ac:dyDescent="0.25">
      <c r="A778" t="s">
        <v>3285</v>
      </c>
      <c r="B778" t="s">
        <v>3286</v>
      </c>
      <c r="C778" t="s">
        <v>1751</v>
      </c>
      <c r="D778" s="8">
        <v>8</v>
      </c>
      <c r="E778" s="9">
        <v>242.42</v>
      </c>
      <c r="F778" s="8">
        <v>88</v>
      </c>
      <c r="G778" s="10"/>
      <c r="H778" s="9" t="str">
        <f>IF(G778="","",E778*G778)</f>
        <v/>
      </c>
      <c r="I778" s="11" t="str">
        <f>HYPERLINK("https://optomposuda.ru/product/chasha-barokko-blek-15sm-15767-1","открыть")</f>
        <v>открыть</v>
      </c>
    </row>
    <row r="779" spans="1:9" x14ac:dyDescent="0.25">
      <c r="A779" t="s">
        <v>3287</v>
      </c>
      <c r="B779" t="s">
        <v>3288</v>
      </c>
      <c r="C779" t="s">
        <v>1751</v>
      </c>
      <c r="D779" s="8">
        <v>8</v>
      </c>
      <c r="E779" s="9">
        <v>234.12</v>
      </c>
      <c r="F779" s="8">
        <v>181</v>
      </c>
      <c r="G779" s="10"/>
      <c r="H779" s="9" t="str">
        <f>IF(G779="","",E779*G779)</f>
        <v/>
      </c>
      <c r="I779" s="11" t="str">
        <f>HYPERLINK("https://optomposuda.ru/product/chasha-barokko-gold-15sm-15767-2","открыть")</f>
        <v>открыть</v>
      </c>
    </row>
    <row r="780" spans="1:9" x14ac:dyDescent="0.25">
      <c r="A780" t="s">
        <v>3289</v>
      </c>
      <c r="B780" t="s">
        <v>3290</v>
      </c>
      <c r="C780" t="s">
        <v>1751</v>
      </c>
      <c r="D780" s="8">
        <v>1</v>
      </c>
      <c r="E780" s="9">
        <v>234.55</v>
      </c>
      <c r="F780" s="8">
        <v>7</v>
      </c>
      <c r="G780" s="10"/>
      <c r="H780" s="9" t="str">
        <f>IF(G780="","",E780*G780)</f>
        <v/>
      </c>
      <c r="I780" s="11" t="str">
        <f>HYPERLINK("https://optomposuda.ru/product/chasha-barhatnaya-osen-15sm-bez-upakovki-kor-8sht-17821","открыть")</f>
        <v>открыть</v>
      </c>
    </row>
    <row r="781" spans="1:9" x14ac:dyDescent="0.25">
      <c r="A781" t="s">
        <v>3291</v>
      </c>
      <c r="B781" t="s">
        <v>3292</v>
      </c>
      <c r="C781" t="s">
        <v>1751</v>
      </c>
      <c r="D781" s="8">
        <v>16</v>
      </c>
      <c r="E781" s="9">
        <v>171.31</v>
      </c>
      <c r="F781" s="8">
        <v>239</v>
      </c>
      <c r="G781" s="10"/>
      <c r="H781" s="9" t="str">
        <f>IF(G781="","",E781*G781)</f>
        <v/>
      </c>
      <c r="I781" s="11" t="str">
        <f>HYPERLINK("https://optomposuda.ru/product/chasha-burgundskaya-kuvshinka-10-sm","открыть")</f>
        <v>открыть</v>
      </c>
    </row>
    <row r="782" spans="1:9" x14ac:dyDescent="0.25">
      <c r="A782" t="s">
        <v>3293</v>
      </c>
      <c r="B782" t="s">
        <v>3294</v>
      </c>
      <c r="C782" t="s">
        <v>1751</v>
      </c>
      <c r="D782" s="8">
        <v>1</v>
      </c>
      <c r="E782" s="9">
        <v>140.74</v>
      </c>
      <c r="F782" s="8">
        <v>1</v>
      </c>
      <c r="G782" s="10"/>
      <c r="H782" s="9" t="str">
        <f>IF(G782="","",E782*G782)</f>
        <v/>
      </c>
      <c r="I782" s="11" t="str">
        <f>HYPERLINK("https://optomposuda.ru/product/chasha-vintazh-15sm-bez-upakovki-kor-8sht-16610","открыть")</f>
        <v>открыть</v>
      </c>
    </row>
    <row r="783" spans="1:9" x14ac:dyDescent="0.25">
      <c r="A783" t="s">
        <v>3295</v>
      </c>
      <c r="B783" t="s">
        <v>3296</v>
      </c>
      <c r="C783" t="s">
        <v>1751</v>
      </c>
      <c r="D783" s="8">
        <v>8</v>
      </c>
      <c r="E783" s="9">
        <v>218.52</v>
      </c>
      <c r="F783" s="8">
        <v>116</v>
      </c>
      <c r="G783" s="10"/>
      <c r="H783" s="9" t="str">
        <f>IF(G783="","",E783*G783)</f>
        <v/>
      </c>
      <c r="I783" s="11" t="str">
        <f>HYPERLINK("https://optomposuda.ru/product/chasha-virdzhiniya-zoloto-15-sm","открыть")</f>
        <v>открыть</v>
      </c>
    </row>
    <row r="784" spans="1:9" x14ac:dyDescent="0.25">
      <c r="A784" t="s">
        <v>3297</v>
      </c>
      <c r="B784" t="s">
        <v>3298</v>
      </c>
      <c r="C784" t="s">
        <v>1751</v>
      </c>
      <c r="D784" s="8">
        <v>8</v>
      </c>
      <c r="E784" s="9">
        <v>218.52</v>
      </c>
      <c r="F784" s="8">
        <v>63</v>
      </c>
      <c r="G784" s="10"/>
      <c r="H784" s="9" t="str">
        <f>IF(G784="","",E784*G784)</f>
        <v/>
      </c>
      <c r="I784" s="11" t="str">
        <f>HYPERLINK("https://optomposuda.ru/product/chasha-virdzhiniya-serebro-15-sm","открыть")</f>
        <v>открыть</v>
      </c>
    </row>
    <row r="785" spans="1:9" x14ac:dyDescent="0.25">
      <c r="A785" t="s">
        <v>3299</v>
      </c>
      <c r="B785" t="s">
        <v>3300</v>
      </c>
      <c r="C785" t="s">
        <v>1751</v>
      </c>
      <c r="D785" s="8">
        <v>8</v>
      </c>
      <c r="E785" s="9">
        <v>632.92</v>
      </c>
      <c r="F785" s="8">
        <v>165</v>
      </c>
      <c r="G785" s="10"/>
      <c r="H785" s="9" t="str">
        <f>IF(G785="","",E785*G785)</f>
        <v/>
      </c>
      <c r="I785" s="11" t="str">
        <f>HYPERLINK("https://optomposuda.ru/product/chasha-vostorg-15-sm","открыть")</f>
        <v>открыть</v>
      </c>
    </row>
    <row r="786" spans="1:9" x14ac:dyDescent="0.25">
      <c r="A786" t="s">
        <v>3301</v>
      </c>
      <c r="B786" t="s">
        <v>3302</v>
      </c>
      <c r="C786" t="s">
        <v>1751</v>
      </c>
      <c r="D786" s="8">
        <v>16</v>
      </c>
      <c r="E786" s="9">
        <v>231.96</v>
      </c>
      <c r="F786" s="8">
        <v>163</v>
      </c>
      <c r="G786" s="10"/>
      <c r="H786" s="9" t="str">
        <f>IF(G786="","",E786*G786)</f>
        <v/>
      </c>
      <c r="I786" s="11" t="str">
        <f>HYPERLINK("https://optomposuda.ru/product/chasha-zvezdnoe-nebo-12-sm-den","открыть")</f>
        <v>открыть</v>
      </c>
    </row>
    <row r="787" spans="1:9" x14ac:dyDescent="0.25">
      <c r="A787" t="s">
        <v>3303</v>
      </c>
      <c r="B787" t="s">
        <v>3304</v>
      </c>
      <c r="C787" t="s">
        <v>1751</v>
      </c>
      <c r="D787" s="8">
        <v>16</v>
      </c>
      <c r="E787" s="9">
        <v>231.96</v>
      </c>
      <c r="F787" s="8">
        <v>220</v>
      </c>
      <c r="G787" s="10"/>
      <c r="H787" s="9" t="str">
        <f>IF(G787="","",E787*G787)</f>
        <v/>
      </c>
      <c r="I787" s="11" t="str">
        <f>HYPERLINK("https://optomposuda.ru/product/chasha-zvezdnoe-nebo-12-sm-noch","открыть")</f>
        <v>открыть</v>
      </c>
    </row>
    <row r="788" spans="1:9" x14ac:dyDescent="0.25">
      <c r="A788" t="s">
        <v>3305</v>
      </c>
      <c r="B788" t="s">
        <v>3306</v>
      </c>
      <c r="C788" t="s">
        <v>1751</v>
      </c>
      <c r="D788" s="8">
        <v>1</v>
      </c>
      <c r="E788" s="9">
        <v>361.19</v>
      </c>
      <c r="F788" s="8">
        <v>206</v>
      </c>
      <c r="G788" s="10"/>
      <c r="H788" s="9" t="str">
        <f>IF(G788="","",E788*G788)</f>
        <v/>
      </c>
      <c r="I788" s="11" t="str">
        <f>HYPERLINK("https://optomposuda.ru/product/chasha-zvezdnoe-nebo-18-sm-den-art-13297-w","открыть")</f>
        <v>открыть</v>
      </c>
    </row>
    <row r="789" spans="1:9" x14ac:dyDescent="0.25">
      <c r="A789" t="s">
        <v>3307</v>
      </c>
      <c r="B789" t="s">
        <v>3308</v>
      </c>
      <c r="C789" t="s">
        <v>1751</v>
      </c>
      <c r="D789" s="8">
        <v>1</v>
      </c>
      <c r="E789" s="9">
        <v>361.19</v>
      </c>
      <c r="F789" s="8">
        <v>104</v>
      </c>
      <c r="G789" s="10"/>
      <c r="H789" s="9" t="str">
        <f>IF(G789="","",E789*G789)</f>
        <v/>
      </c>
      <c r="I789" s="11" t="str">
        <f>HYPERLINK("https://optomposuda.ru/product/chasha-zvezdnoe-nebo-18-sm-noch-art-13297-v","открыть")</f>
        <v>открыть</v>
      </c>
    </row>
    <row r="790" spans="1:9" x14ac:dyDescent="0.25">
      <c r="A790" t="s">
        <v>3309</v>
      </c>
      <c r="B790" t="s">
        <v>3310</v>
      </c>
      <c r="C790" t="s">
        <v>1751</v>
      </c>
      <c r="D790" s="8">
        <v>16</v>
      </c>
      <c r="E790" s="9">
        <v>292.64</v>
      </c>
      <c r="F790" s="8">
        <v>205</v>
      </c>
      <c r="G790" s="10"/>
      <c r="H790" s="9" t="str">
        <f>IF(G790="","",E790*G790)</f>
        <v/>
      </c>
      <c r="I790" s="11" t="str">
        <f>HYPERLINK("https://optomposuda.ru/product/chasha-zvezdochka-zelenaya-15cm","открыть")</f>
        <v>открыть</v>
      </c>
    </row>
    <row r="791" spans="1:9" x14ac:dyDescent="0.25">
      <c r="A791" t="s">
        <v>3311</v>
      </c>
      <c r="B791" t="s">
        <v>3312</v>
      </c>
      <c r="C791" t="s">
        <v>1751</v>
      </c>
      <c r="D791" s="8">
        <v>16</v>
      </c>
      <c r="E791" s="9">
        <v>292.64</v>
      </c>
      <c r="F791" s="8">
        <v>216</v>
      </c>
      <c r="G791" s="10"/>
      <c r="H791" s="9" t="str">
        <f>IF(G791="","",E791*G791)</f>
        <v/>
      </c>
      <c r="I791" s="11" t="str">
        <f>HYPERLINK("https://optomposuda.ru/product/chasha-zvezdochka-zolotaya-15cm","открыть")</f>
        <v>открыть</v>
      </c>
    </row>
    <row r="792" spans="1:9" x14ac:dyDescent="0.25">
      <c r="A792" t="s">
        <v>3313</v>
      </c>
      <c r="B792" t="s">
        <v>3314</v>
      </c>
      <c r="C792" t="s">
        <v>1751</v>
      </c>
      <c r="D792" s="8">
        <v>16</v>
      </c>
      <c r="E792" s="9">
        <v>292.64</v>
      </c>
      <c r="F792" s="8">
        <v>167</v>
      </c>
      <c r="G792" s="10"/>
      <c r="H792" s="9" t="str">
        <f>IF(G792="","",E792*G792)</f>
        <v/>
      </c>
      <c r="I792" s="11" t="str">
        <f>HYPERLINK("https://optomposuda.ru/product/chasha-zvezdochka-krasnaya-15cm","открыть")</f>
        <v>открыть</v>
      </c>
    </row>
    <row r="793" spans="1:9" x14ac:dyDescent="0.25">
      <c r="A793" t="s">
        <v>3315</v>
      </c>
      <c r="B793" t="s">
        <v>3316</v>
      </c>
      <c r="C793" t="s">
        <v>1751</v>
      </c>
      <c r="D793" s="8">
        <v>16</v>
      </c>
      <c r="E793" s="9">
        <v>208.01</v>
      </c>
      <c r="F793" s="8">
        <v>573</v>
      </c>
      <c r="G793" s="10"/>
      <c r="H793" s="9" t="str">
        <f>IF(G793="","",E793*G793)</f>
        <v/>
      </c>
      <c r="I793" s="11" t="str">
        <f>HYPERLINK("https://optomposuda.ru/product/chasha-zolotaya-kuvshinka-10-sm","открыть")</f>
        <v>открыть</v>
      </c>
    </row>
    <row r="794" spans="1:9" x14ac:dyDescent="0.25">
      <c r="A794" t="s">
        <v>3317</v>
      </c>
      <c r="B794" t="s">
        <v>3318</v>
      </c>
      <c r="C794" t="s">
        <v>1751</v>
      </c>
      <c r="D794" s="8">
        <v>1</v>
      </c>
      <c r="E794" s="9">
        <v>299.23</v>
      </c>
      <c r="F794" s="8">
        <v>609</v>
      </c>
      <c r="G794" s="10"/>
      <c r="H794" s="9" t="str">
        <f>IF(G794="","",E794*G794)</f>
        <v/>
      </c>
      <c r="I794" s="11" t="str">
        <f>HYPERLINK("https://optomposuda.ru/product/chasha-zolotaya-rossyp-15sm-bez-upakovki-kor-8sht-16184-3","открыть")</f>
        <v>открыть</v>
      </c>
    </row>
    <row r="795" spans="1:9" x14ac:dyDescent="0.25">
      <c r="A795" t="s">
        <v>3319</v>
      </c>
      <c r="B795" t="s">
        <v>3320</v>
      </c>
      <c r="C795" t="s">
        <v>1751</v>
      </c>
      <c r="D795" s="8">
        <v>8</v>
      </c>
      <c r="E795" s="9">
        <v>356.48</v>
      </c>
      <c r="F795" s="8">
        <v>246</v>
      </c>
      <c r="G795" s="10"/>
      <c r="H795" s="9" t="str">
        <f>IF(G795="","",E795*G795)</f>
        <v/>
      </c>
      <c r="I795" s="11" t="str">
        <f>HYPERLINK("https://optomposuda.ru/product/chasha-izobilie-13-sm","открыть")</f>
        <v>открыть</v>
      </c>
    </row>
    <row r="796" spans="1:9" x14ac:dyDescent="0.25">
      <c r="A796" t="s">
        <v>3321</v>
      </c>
      <c r="B796" t="s">
        <v>3322</v>
      </c>
      <c r="C796" t="s">
        <v>1751</v>
      </c>
      <c r="D796" s="8">
        <v>8</v>
      </c>
      <c r="E796" s="9">
        <v>211.24</v>
      </c>
      <c r="F796" s="8">
        <v>1</v>
      </c>
      <c r="G796" s="10"/>
      <c r="H796" s="9" t="str">
        <f>IF(G796="","",E796*G796)</f>
        <v/>
      </c>
      <c r="I796" s="11" t="str">
        <f>HYPERLINK("https://optomposuda.ru/product/chasha-korallovyy-zhemchug-15-sm","открыть")</f>
        <v>открыть</v>
      </c>
    </row>
    <row r="797" spans="1:9" x14ac:dyDescent="0.25">
      <c r="A797" t="s">
        <v>3323</v>
      </c>
      <c r="B797" t="s">
        <v>3324</v>
      </c>
      <c r="C797" t="s">
        <v>1751</v>
      </c>
      <c r="D797" s="8">
        <v>16</v>
      </c>
      <c r="E797" s="9">
        <v>175.37</v>
      </c>
      <c r="F797" s="8">
        <v>702</v>
      </c>
      <c r="G797" s="10"/>
      <c r="H797" s="9" t="str">
        <f>IF(G797="","",E797*G797)</f>
        <v/>
      </c>
      <c r="I797" s="11" t="str">
        <f>HYPERLINK("https://optomposuda.ru/product/chasha-kuvshinka-indiana-10-sm","открыть")</f>
        <v>открыть</v>
      </c>
    </row>
    <row r="798" spans="1:9" x14ac:dyDescent="0.25">
      <c r="A798" t="s">
        <v>3325</v>
      </c>
      <c r="B798" t="s">
        <v>3326</v>
      </c>
      <c r="C798" t="s">
        <v>1751</v>
      </c>
      <c r="D798" s="8">
        <v>16</v>
      </c>
      <c r="E798" s="9">
        <v>176.39</v>
      </c>
      <c r="F798" s="8">
        <v>660</v>
      </c>
      <c r="G798" s="10"/>
      <c r="H798" s="9" t="str">
        <f>IF(G798="","",E798*G798)</f>
        <v/>
      </c>
      <c r="I798" s="11" t="str">
        <f>HYPERLINK("https://optomposuda.ru/product/chasha-kuvshinka-nimfeya-10-sm","открыть")</f>
        <v>открыть</v>
      </c>
    </row>
    <row r="799" spans="1:9" x14ac:dyDescent="0.25">
      <c r="A799" t="s">
        <v>3327</v>
      </c>
      <c r="B799" t="s">
        <v>3328</v>
      </c>
      <c r="C799" t="s">
        <v>1751</v>
      </c>
      <c r="D799" s="8">
        <v>1</v>
      </c>
      <c r="E799" s="9">
        <v>249.21</v>
      </c>
      <c r="F799" s="8">
        <v>4</v>
      </c>
      <c r="G799" s="10"/>
      <c r="H799" s="9" t="str">
        <f>IF(G799="","",E799*G799)</f>
        <v/>
      </c>
      <c r="I799" s="11" t="str">
        <f>HYPERLINK("https://optomposuda.ru/product/chasha-lunnoe-siyanie-15sm-bez-upakovki-kor-8sht-17546-1","открыть")</f>
        <v>открыть</v>
      </c>
    </row>
    <row r="800" spans="1:9" x14ac:dyDescent="0.25">
      <c r="A800" t="s">
        <v>3329</v>
      </c>
      <c r="B800" t="s">
        <v>3330</v>
      </c>
      <c r="C800" t="s">
        <v>1751</v>
      </c>
      <c r="D800" s="8">
        <v>1</v>
      </c>
      <c r="E800" s="9">
        <v>541.77</v>
      </c>
      <c r="F800" s="8">
        <v>98</v>
      </c>
      <c r="G800" s="10"/>
      <c r="H800" s="9" t="str">
        <f>IF(G800="","",E800*G800)</f>
        <v/>
      </c>
      <c r="I800" s="11" t="str">
        <f>HYPERLINK("https://optomposuda.ru/product/chasha-lunnoe-siyanie-20sm-bez-upakovki-kor-6sht-18409-1","открыть")</f>
        <v>открыть</v>
      </c>
    </row>
    <row r="801" spans="1:9" x14ac:dyDescent="0.25">
      <c r="A801" t="s">
        <v>3331</v>
      </c>
      <c r="B801" t="s">
        <v>3332</v>
      </c>
      <c r="C801" t="s">
        <v>1751</v>
      </c>
      <c r="D801" s="8">
        <v>8</v>
      </c>
      <c r="E801" s="9">
        <v>233.09</v>
      </c>
      <c r="F801" s="8">
        <v>117</v>
      </c>
      <c r="G801" s="10"/>
      <c r="H801" s="9" t="str">
        <f>IF(G801="","",E801*G801)</f>
        <v/>
      </c>
      <c r="I801" s="11" t="str">
        <f>HYPERLINK("https://optomposuda.ru/product/chasha-lunnyy-bosfor-15sm-15901-v","открыть")</f>
        <v>открыть</v>
      </c>
    </row>
    <row r="802" spans="1:9" x14ac:dyDescent="0.25">
      <c r="A802" t="s">
        <v>3333</v>
      </c>
      <c r="B802" t="s">
        <v>3334</v>
      </c>
      <c r="C802" t="s">
        <v>1751</v>
      </c>
      <c r="D802" s="8">
        <v>1</v>
      </c>
      <c r="E802" s="9">
        <v>220.19</v>
      </c>
      <c r="F802" s="8">
        <v>238</v>
      </c>
      <c r="G802" s="10"/>
      <c r="H802" s="9" t="str">
        <f>IF(G802="","",E802*G802)</f>
        <v/>
      </c>
      <c r="I802" s="11" t="str">
        <f>HYPERLINK("https://optomposuda.ru/product/chasha-mercanie-nochi-15-sm-bez-upakovki-kor-8sht-16184-2","открыть")</f>
        <v>открыть</v>
      </c>
    </row>
    <row r="803" spans="1:9" x14ac:dyDescent="0.25">
      <c r="A803" t="s">
        <v>3335</v>
      </c>
      <c r="B803" t="s">
        <v>3336</v>
      </c>
      <c r="C803" t="s">
        <v>1751</v>
      </c>
      <c r="D803" s="8">
        <v>8</v>
      </c>
      <c r="E803" s="9">
        <v>211.24</v>
      </c>
      <c r="F803" s="8">
        <v>3</v>
      </c>
      <c r="G803" s="10"/>
      <c r="H803" s="9" t="str">
        <f>IF(G803="","",E803*G803)</f>
        <v/>
      </c>
      <c r="I803" s="11" t="str">
        <f>HYPERLINK("https://optomposuda.ru/product/chasha-morskaya-zhemchuzhina-15-sm-нн000006031","открыть")</f>
        <v>открыть</v>
      </c>
    </row>
    <row r="804" spans="1:9" x14ac:dyDescent="0.25">
      <c r="A804" t="s">
        <v>3337</v>
      </c>
      <c r="B804" t="s">
        <v>3338</v>
      </c>
      <c r="C804" t="s">
        <v>1751</v>
      </c>
      <c r="D804" s="8">
        <v>6</v>
      </c>
      <c r="E804" s="9">
        <v>410.9</v>
      </c>
      <c r="F804" s="8">
        <v>273</v>
      </c>
      <c r="G804" s="10"/>
      <c r="H804" s="9" t="str">
        <f>IF(G804="","",E804*G804)</f>
        <v/>
      </c>
      <c r="I804" s="11" t="str">
        <f>HYPERLINK("https://optomposuda.ru/product/chasha-novogodnyaya-skazka-21-sm-zelenaya","открыть")</f>
        <v>открыть</v>
      </c>
    </row>
    <row r="805" spans="1:9" x14ac:dyDescent="0.25">
      <c r="A805" t="s">
        <v>3339</v>
      </c>
      <c r="B805" t="s">
        <v>3340</v>
      </c>
      <c r="C805" t="s">
        <v>1751</v>
      </c>
      <c r="D805" s="8">
        <v>6</v>
      </c>
      <c r="E805" s="9">
        <v>410.9</v>
      </c>
      <c r="F805" s="8">
        <v>259</v>
      </c>
      <c r="G805" s="10"/>
      <c r="H805" s="9" t="str">
        <f>IF(G805="","",E805*G805)</f>
        <v/>
      </c>
      <c r="I805" s="11" t="str">
        <f>HYPERLINK("https://optomposuda.ru/product/chasha-novogodnyaya-skazka-21-sm-krasnaya","открыть")</f>
        <v>открыть</v>
      </c>
    </row>
    <row r="806" spans="1:9" x14ac:dyDescent="0.25">
      <c r="A806" t="s">
        <v>3341</v>
      </c>
      <c r="B806" t="s">
        <v>3342</v>
      </c>
      <c r="C806" t="s">
        <v>1751</v>
      </c>
      <c r="D806" s="8">
        <v>8</v>
      </c>
      <c r="E806" s="9">
        <v>309.84</v>
      </c>
      <c r="F806" s="8">
        <v>258</v>
      </c>
      <c r="G806" s="10"/>
      <c r="H806" s="9" t="str">
        <f>IF(G806="","",E806*G806)</f>
        <v/>
      </c>
      <c r="I806" s="11" t="str">
        <f>HYPERLINK("https://optomposuda.ru/product/chasha-peysli-antracit-15sm-15791-1","открыть")</f>
        <v>открыть</v>
      </c>
    </row>
    <row r="807" spans="1:9" x14ac:dyDescent="0.25">
      <c r="A807" t="s">
        <v>3343</v>
      </c>
      <c r="B807" t="s">
        <v>3344</v>
      </c>
      <c r="C807" t="s">
        <v>1751</v>
      </c>
      <c r="D807" s="8">
        <v>8</v>
      </c>
      <c r="E807" s="9">
        <v>218.52</v>
      </c>
      <c r="F807" s="8">
        <v>126</v>
      </c>
      <c r="G807" s="10"/>
      <c r="H807" s="9" t="str">
        <f>IF(G807="","",E807*G807)</f>
        <v/>
      </c>
      <c r="I807" s="11" t="str">
        <f>HYPERLINK("https://optomposuda.ru/product/chasha-peysli-zoloto-15sm-15791-2","открыть")</f>
        <v>открыть</v>
      </c>
    </row>
    <row r="808" spans="1:9" x14ac:dyDescent="0.25">
      <c r="A808" t="s">
        <v>3345</v>
      </c>
      <c r="B808" t="s">
        <v>3346</v>
      </c>
      <c r="C808" t="s">
        <v>1751</v>
      </c>
      <c r="D808" s="8">
        <v>1</v>
      </c>
      <c r="E808" s="9">
        <v>244.76</v>
      </c>
      <c r="F808" s="8">
        <v>1</v>
      </c>
      <c r="G808" s="10"/>
      <c r="H808" s="9" t="str">
        <f>IF(G808="","",E808*G808)</f>
        <v/>
      </c>
      <c r="I808" s="11" t="str">
        <f>HYPERLINK("https://optomposuda.ru/product/chasha-plamya-hyurrem-15sm-bez-upakovki-kor-8sht-17173-2","открыть")</f>
        <v>открыть</v>
      </c>
    </row>
    <row r="809" spans="1:9" x14ac:dyDescent="0.25">
      <c r="A809" t="s">
        <v>3347</v>
      </c>
      <c r="B809" t="s">
        <v>3348</v>
      </c>
      <c r="C809" t="s">
        <v>1751</v>
      </c>
      <c r="D809" s="8">
        <v>8</v>
      </c>
      <c r="E809" s="9">
        <v>215.98</v>
      </c>
      <c r="F809" s="8">
        <v>82</v>
      </c>
      <c r="G809" s="10"/>
      <c r="H809" s="9" t="str">
        <f>IF(G809="","",E809*G809)</f>
        <v/>
      </c>
      <c r="I809" s="11" t="str">
        <f>HYPERLINK("https://optomposuda.ru/product/chasha-retro-briz-13sm-14048-v","открыть")</f>
        <v>открыть</v>
      </c>
    </row>
    <row r="810" spans="1:9" x14ac:dyDescent="0.25">
      <c r="A810" t="s">
        <v>3349</v>
      </c>
      <c r="B810" t="s">
        <v>3350</v>
      </c>
      <c r="C810" t="s">
        <v>1751</v>
      </c>
      <c r="D810" s="8">
        <v>4</v>
      </c>
      <c r="E810" s="9">
        <v>464.35</v>
      </c>
      <c r="F810" s="8">
        <v>199</v>
      </c>
      <c r="G810" s="10"/>
      <c r="H810" s="9" t="str">
        <f>IF(G810="","",E810*G810)</f>
        <v/>
      </c>
      <c r="I810" s="11" t="str">
        <f>HYPERLINK("https://optomposuda.ru/product/chasha-retro-briz-28sm-14051-v","открыть")</f>
        <v>открыть</v>
      </c>
    </row>
    <row r="811" spans="1:9" x14ac:dyDescent="0.25">
      <c r="A811" t="s">
        <v>3351</v>
      </c>
      <c r="B811" t="s">
        <v>3352</v>
      </c>
      <c r="C811" t="s">
        <v>1751</v>
      </c>
      <c r="D811" s="8">
        <v>8</v>
      </c>
      <c r="E811" s="9">
        <v>161.61</v>
      </c>
      <c r="F811" s="8">
        <v>104</v>
      </c>
      <c r="G811" s="10"/>
      <c r="H811" s="9" t="str">
        <f>IF(G811="","",E811*G811)</f>
        <v/>
      </c>
      <c r="I811" s="11" t="str">
        <f>HYPERLINK("https://optomposuda.ru/product/chasha-retro-grey-13sm-14048-g","открыть")</f>
        <v>открыть</v>
      </c>
    </row>
    <row r="812" spans="1:9" x14ac:dyDescent="0.25">
      <c r="A812" t="s">
        <v>3353</v>
      </c>
      <c r="B812" t="s">
        <v>3354</v>
      </c>
      <c r="C812" t="s">
        <v>1751</v>
      </c>
      <c r="D812" s="8">
        <v>8</v>
      </c>
      <c r="E812" s="9">
        <v>269.21</v>
      </c>
      <c r="F812" s="8">
        <v>29</v>
      </c>
      <c r="G812" s="10"/>
      <c r="H812" s="9" t="str">
        <f>IF(G812="","",E812*G812)</f>
        <v/>
      </c>
      <c r="I812" s="11" t="str">
        <f>HYPERLINK("https://optomposuda.ru/product/chasha-retro-grey-16sm-14049-g","открыть")</f>
        <v>открыть</v>
      </c>
    </row>
    <row r="813" spans="1:9" x14ac:dyDescent="0.25">
      <c r="A813" t="s">
        <v>3355</v>
      </c>
      <c r="B813" t="s">
        <v>3356</v>
      </c>
      <c r="C813" t="s">
        <v>1751</v>
      </c>
      <c r="D813" s="8">
        <v>4</v>
      </c>
      <c r="E813" s="9">
        <v>428.26</v>
      </c>
      <c r="F813" s="8">
        <v>113</v>
      </c>
      <c r="G813" s="10"/>
      <c r="H813" s="9" t="str">
        <f>IF(G813="","",E813*G813)</f>
        <v/>
      </c>
      <c r="I813" s="11" t="str">
        <f>HYPERLINK("https://optomposuda.ru/product/chasha-retro-grey-20sm-14050-g","открыть")</f>
        <v>открыть</v>
      </c>
    </row>
    <row r="814" spans="1:9" x14ac:dyDescent="0.25">
      <c r="A814" t="s">
        <v>3357</v>
      </c>
      <c r="B814" t="s">
        <v>3358</v>
      </c>
      <c r="C814" t="s">
        <v>1751</v>
      </c>
      <c r="D814" s="8">
        <v>8</v>
      </c>
      <c r="E814" s="9">
        <v>261.33</v>
      </c>
      <c r="F814" s="8">
        <v>93</v>
      </c>
      <c r="G814" s="10"/>
      <c r="H814" s="9" t="str">
        <f>IF(G814="","",E814*G814)</f>
        <v/>
      </c>
      <c r="I814" s="11" t="str">
        <f>HYPERLINK("https://optomposuda.ru/product/chasha-rivera-bronza-15sm-15735-2","открыть")</f>
        <v>открыть</v>
      </c>
    </row>
    <row r="815" spans="1:9" x14ac:dyDescent="0.25">
      <c r="A815" t="s">
        <v>3359</v>
      </c>
      <c r="B815" t="s">
        <v>3360</v>
      </c>
      <c r="C815" t="s">
        <v>1751</v>
      </c>
      <c r="D815" s="8">
        <v>8</v>
      </c>
      <c r="E815" s="9">
        <v>308.57</v>
      </c>
      <c r="F815" s="8">
        <v>84</v>
      </c>
      <c r="G815" s="10"/>
      <c r="H815" s="9" t="str">
        <f>IF(G815="","",E815*G815)</f>
        <v/>
      </c>
      <c r="I815" s="11" t="str">
        <f>HYPERLINK("https://optomposuda.ru/product/chasha-rivera-zhemchug-15sm-15735-1","открыть")</f>
        <v>открыть</v>
      </c>
    </row>
    <row r="816" spans="1:9" x14ac:dyDescent="0.25">
      <c r="A816" t="s">
        <v>2489</v>
      </c>
      <c r="B816" t="s">
        <v>3361</v>
      </c>
      <c r="C816" t="s">
        <v>1751</v>
      </c>
      <c r="D816" s="8">
        <v>1</v>
      </c>
      <c r="E816" s="9">
        <v>140.74</v>
      </c>
      <c r="F816" s="8">
        <v>4</v>
      </c>
      <c r="G816" s="10"/>
      <c r="H816" s="9" t="str">
        <f>IF(G816="","",E816*G816)</f>
        <v/>
      </c>
      <c r="I816" s="11" t="str">
        <f>HYPERLINK("https://optomposuda.ru/product/chasha-rozovyy-zakat-15sm-bez-upakovki-kor-8sht-16408","открыть")</f>
        <v>открыть</v>
      </c>
    </row>
    <row r="817" spans="1:9" x14ac:dyDescent="0.25">
      <c r="A817" t="s">
        <v>3362</v>
      </c>
      <c r="B817" t="s">
        <v>3363</v>
      </c>
      <c r="C817" t="s">
        <v>1751</v>
      </c>
      <c r="D817" s="8">
        <v>1</v>
      </c>
      <c r="E817" s="9">
        <v>410.27</v>
      </c>
      <c r="F817" s="8">
        <v>1</v>
      </c>
      <c r="G817" s="10"/>
      <c r="H817" s="9" t="str">
        <f>IF(G817="","",E817*G817)</f>
        <v/>
      </c>
      <c r="I817" s="11" t="str">
        <f>HYPERLINK("https://optomposuda.ru/product/chasha-rubin-15sm-bez-upakovki-kor-8sht-17546-2","открыть")</f>
        <v>открыть</v>
      </c>
    </row>
    <row r="818" spans="1:9" x14ac:dyDescent="0.25">
      <c r="A818" t="s">
        <v>3364</v>
      </c>
      <c r="B818" t="s">
        <v>3365</v>
      </c>
      <c r="C818" t="s">
        <v>1751</v>
      </c>
      <c r="D818" s="8">
        <v>1</v>
      </c>
      <c r="E818" s="9">
        <v>220.19</v>
      </c>
      <c r="F818" s="8">
        <v>241</v>
      </c>
      <c r="G818" s="10"/>
      <c r="H818" s="9" t="str">
        <f>IF(G818="","",E818*G818)</f>
        <v/>
      </c>
      <c r="I818" s="11" t="str">
        <f>HYPERLINK("https://optomposuda.ru/product/chasha-severnaya-zvezda-15sm-bez-upakovki-kor-8sht-16184-1","открыть")</f>
        <v>открыть</v>
      </c>
    </row>
    <row r="819" spans="1:9" x14ac:dyDescent="0.25">
      <c r="A819" t="s">
        <v>3366</v>
      </c>
      <c r="B819" t="s">
        <v>3367</v>
      </c>
      <c r="C819" t="s">
        <v>1751</v>
      </c>
      <c r="D819" s="8">
        <v>1</v>
      </c>
      <c r="E819" s="9">
        <v>244.76</v>
      </c>
      <c r="F819" s="8">
        <v>2</v>
      </c>
      <c r="G819" s="10"/>
      <c r="H819" s="9" t="str">
        <f>IF(G819="","",E819*G819)</f>
        <v/>
      </c>
      <c r="I819" s="11" t="str">
        <f>HYPERLINK("https://optomposuda.ru/product/chasha-serebro-hyurrem-15-sm-kor-8sht-art-17173-4","открыть")</f>
        <v>открыть</v>
      </c>
    </row>
    <row r="820" spans="1:9" x14ac:dyDescent="0.25">
      <c r="A820" t="s">
        <v>3368</v>
      </c>
      <c r="B820" t="s">
        <v>3369</v>
      </c>
      <c r="C820" t="s">
        <v>1751</v>
      </c>
      <c r="D820" s="8">
        <v>12</v>
      </c>
      <c r="E820" s="9">
        <v>471.81</v>
      </c>
      <c r="F820" s="8">
        <v>219</v>
      </c>
      <c r="G820" s="10"/>
      <c r="H820" s="9" t="str">
        <f>IF(G820="","",E820*G820)</f>
        <v/>
      </c>
      <c r="I820" s="11" t="str">
        <f>HYPERLINK("https://optomposuda.ru/product/chasha-snezhnye-uzory-15-sm-belaya","открыть")</f>
        <v>открыть</v>
      </c>
    </row>
    <row r="821" spans="1:9" x14ac:dyDescent="0.25">
      <c r="A821" t="s">
        <v>3370</v>
      </c>
      <c r="B821" t="s">
        <v>3371</v>
      </c>
      <c r="C821" t="s">
        <v>1751</v>
      </c>
      <c r="D821" s="8">
        <v>12</v>
      </c>
      <c r="E821" s="9">
        <v>471.81</v>
      </c>
      <c r="F821" s="8">
        <v>211</v>
      </c>
      <c r="G821" s="10"/>
      <c r="H821" s="9" t="str">
        <f>IF(G821="","",E821*G821)</f>
        <v/>
      </c>
      <c r="I821" s="11" t="str">
        <f>HYPERLINK("https://optomposuda.ru/product/chasha-snezhnye-uzory-15-sm-krasnaya","открыть")</f>
        <v>открыть</v>
      </c>
    </row>
    <row r="822" spans="1:9" x14ac:dyDescent="0.25">
      <c r="A822" t="s">
        <v>3372</v>
      </c>
      <c r="B822" t="s">
        <v>3373</v>
      </c>
      <c r="C822" t="s">
        <v>1751</v>
      </c>
      <c r="D822" s="8">
        <v>6</v>
      </c>
      <c r="E822" s="9">
        <v>386.6</v>
      </c>
      <c r="F822" s="8">
        <v>1</v>
      </c>
      <c r="G822" s="10"/>
      <c r="H822" s="9" t="str">
        <f>IF(G822="","",E822*G822)</f>
        <v/>
      </c>
      <c r="I822" s="11" t="str">
        <f>HYPERLINK("https://optomposuda.ru/product/chasha-snezhnyy-vihr-20-sm-belaya","открыть")</f>
        <v>открыть</v>
      </c>
    </row>
    <row r="823" spans="1:9" x14ac:dyDescent="0.25">
      <c r="A823" t="s">
        <v>3374</v>
      </c>
      <c r="B823" t="s">
        <v>3375</v>
      </c>
      <c r="C823" t="s">
        <v>1751</v>
      </c>
      <c r="D823" s="8">
        <v>8</v>
      </c>
      <c r="E823" s="9">
        <v>286.63</v>
      </c>
      <c r="F823" s="8">
        <v>215</v>
      </c>
      <c r="G823" s="10"/>
      <c r="H823" s="9" t="str">
        <f>IF(G823="","",E823*G823)</f>
        <v/>
      </c>
      <c r="I823" s="11" t="str">
        <f>HYPERLINK("https://optomposuda.ru/product/chasha-talisman-15-sm-bezhevaya-17855-s","открыть")</f>
        <v>открыть</v>
      </c>
    </row>
    <row r="824" spans="1:9" x14ac:dyDescent="0.25">
      <c r="A824" t="s">
        <v>3376</v>
      </c>
      <c r="B824" t="s">
        <v>3377</v>
      </c>
      <c r="C824" t="s">
        <v>1751</v>
      </c>
      <c r="D824" s="8">
        <v>8</v>
      </c>
      <c r="E824" s="9">
        <v>280.22</v>
      </c>
      <c r="F824" s="8">
        <v>253</v>
      </c>
      <c r="G824" s="10"/>
      <c r="H824" s="9" t="str">
        <f>IF(G824="","",E824*G824)</f>
        <v/>
      </c>
      <c r="I824" s="11" t="str">
        <f>HYPERLINK("https://optomposuda.ru/product/chasha-talisman-15-sm-korichnevaya-17855-v","открыть")</f>
        <v>открыть</v>
      </c>
    </row>
    <row r="825" spans="1:9" x14ac:dyDescent="0.25">
      <c r="A825" t="s">
        <v>3378</v>
      </c>
      <c r="B825" t="s">
        <v>3379</v>
      </c>
      <c r="C825" t="s">
        <v>1751</v>
      </c>
      <c r="D825" s="8">
        <v>8</v>
      </c>
      <c r="E825" s="9">
        <v>280.22</v>
      </c>
      <c r="F825" s="8">
        <v>36</v>
      </c>
      <c r="G825" s="10"/>
      <c r="H825" s="9" t="str">
        <f>IF(G825="","",E825*G825)</f>
        <v/>
      </c>
      <c r="I825" s="11" t="str">
        <f>HYPERLINK("https://optomposuda.ru/product/chasha-talisman-15-sm-krasnaya-17855-r","открыть")</f>
        <v>открыть</v>
      </c>
    </row>
    <row r="826" spans="1:9" x14ac:dyDescent="0.25">
      <c r="A826" t="s">
        <v>3380</v>
      </c>
      <c r="B826" t="s">
        <v>3381</v>
      </c>
      <c r="C826" t="s">
        <v>1751</v>
      </c>
      <c r="D826" s="8">
        <v>8</v>
      </c>
      <c r="E826" s="9">
        <v>280.22</v>
      </c>
      <c r="F826" s="8">
        <v>152</v>
      </c>
      <c r="G826" s="10"/>
      <c r="H826" s="9" t="str">
        <f>IF(G826="","",E826*G826)</f>
        <v/>
      </c>
      <c r="I826" s="11" t="str">
        <f>HYPERLINK("https://optomposuda.ru/product/chasha-talisman-15-sm-sinyaya-17855-n","открыть")</f>
        <v>открыть</v>
      </c>
    </row>
    <row r="827" spans="1:9" x14ac:dyDescent="0.25">
      <c r="A827" t="s">
        <v>3382</v>
      </c>
      <c r="B827" t="s">
        <v>3383</v>
      </c>
      <c r="C827" t="s">
        <v>1751</v>
      </c>
      <c r="D827" s="8">
        <v>8</v>
      </c>
      <c r="E827" s="9">
        <v>181.42</v>
      </c>
      <c r="F827" s="8">
        <v>136</v>
      </c>
      <c r="G827" s="10"/>
      <c r="H827" s="9" t="str">
        <f>IF(G827="","",E827*G827)</f>
        <v/>
      </c>
      <c r="I827" s="11" t="str">
        <f>HYPERLINK("https://optomposuda.ru/product/chasha-utrenniy-bosfor-15sm-15901-g","открыть")</f>
        <v>открыть</v>
      </c>
    </row>
    <row r="828" spans="1:9" x14ac:dyDescent="0.25">
      <c r="A828" t="s">
        <v>3384</v>
      </c>
      <c r="B828" t="s">
        <v>3385</v>
      </c>
      <c r="C828" t="s">
        <v>1751</v>
      </c>
      <c r="D828" s="8">
        <v>8</v>
      </c>
      <c r="E828" s="9">
        <v>314.8</v>
      </c>
      <c r="F828" s="8">
        <v>362</v>
      </c>
      <c r="G828" s="10"/>
      <c r="H828" s="9" t="str">
        <f>IF(G828="","",E828*G828)</f>
        <v/>
      </c>
      <c r="I828" s="11" t="str">
        <f>HYPERLINK("https://optomposuda.ru/product/chasha-feyerverk-15-sm-krasnyy","открыть")</f>
        <v>открыть</v>
      </c>
    </row>
    <row r="829" spans="1:9" x14ac:dyDescent="0.25">
      <c r="A829" t="s">
        <v>3386</v>
      </c>
      <c r="B829" t="s">
        <v>3387</v>
      </c>
      <c r="C829" t="s">
        <v>1751</v>
      </c>
      <c r="D829" s="8">
        <v>8</v>
      </c>
      <c r="E829" s="9">
        <v>314.8</v>
      </c>
      <c r="F829" s="8">
        <v>231</v>
      </c>
      <c r="G829" s="10"/>
      <c r="H829" s="9" t="str">
        <f>IF(G829="","",E829*G829)</f>
        <v/>
      </c>
      <c r="I829" s="11" t="str">
        <f>HYPERLINK("https://optomposuda.ru/product/chasha-feyerverk-15-sm-siniy","открыть")</f>
        <v>открыть</v>
      </c>
    </row>
    <row r="830" spans="1:9" x14ac:dyDescent="0.25">
      <c r="A830" t="s">
        <v>3388</v>
      </c>
      <c r="B830" t="s">
        <v>3389</v>
      </c>
      <c r="C830" t="s">
        <v>1751</v>
      </c>
      <c r="D830" s="8">
        <v>8</v>
      </c>
      <c r="E830" s="9">
        <v>314.8</v>
      </c>
      <c r="F830" s="8">
        <v>359</v>
      </c>
      <c r="G830" s="10"/>
      <c r="H830" s="9" t="str">
        <f>IF(G830="","",E830*G830)</f>
        <v/>
      </c>
      <c r="I830" s="11" t="str">
        <f>HYPERLINK("https://optomposuda.ru/product/chasha-feyerverk-15-sm-shampan","открыть")</f>
        <v>открыть</v>
      </c>
    </row>
    <row r="831" spans="1:9" x14ac:dyDescent="0.25">
      <c r="A831" t="s">
        <v>3390</v>
      </c>
      <c r="B831" t="s">
        <v>3391</v>
      </c>
      <c r="C831" t="s">
        <v>1751</v>
      </c>
      <c r="D831" s="8">
        <v>1</v>
      </c>
      <c r="E831" s="9">
        <v>265.16</v>
      </c>
      <c r="F831" s="8">
        <v>1</v>
      </c>
      <c r="G831" s="10"/>
      <c r="H831" s="9" t="str">
        <f>IF(G831="","",E831*G831)</f>
        <v/>
      </c>
      <c r="I831" s="11" t="str">
        <f>HYPERLINK("https://optomposuda.ru/product/chasha-hellouin-15sm-bez-upakovki-kor-8sht-16118","открыть")</f>
        <v>открыть</v>
      </c>
    </row>
    <row r="832" spans="1:9" x14ac:dyDescent="0.25">
      <c r="A832" t="s">
        <v>3392</v>
      </c>
      <c r="B832" t="s">
        <v>3393</v>
      </c>
      <c r="C832" t="s">
        <v>1751</v>
      </c>
      <c r="D832" s="8">
        <v>1</v>
      </c>
      <c r="E832" s="9">
        <v>257.53</v>
      </c>
      <c r="F832" s="8">
        <v>1</v>
      </c>
      <c r="G832" s="10"/>
      <c r="H832" s="9" t="str">
        <f>IF(G832="","",E832*G832)</f>
        <v/>
      </c>
      <c r="I832" s="11" t="str">
        <f>HYPERLINK("https://optomposuda.ru/product/chasha-eleonora-bronza-15sm-15721-2","открыть")</f>
        <v>открыть</v>
      </c>
    </row>
    <row r="833" spans="1:9" x14ac:dyDescent="0.25">
      <c r="A833" t="s">
        <v>3394</v>
      </c>
      <c r="B833" t="s">
        <v>3395</v>
      </c>
      <c r="C833" t="s">
        <v>1751</v>
      </c>
      <c r="D833" s="8">
        <v>1</v>
      </c>
      <c r="E833" s="9">
        <v>308.57</v>
      </c>
      <c r="F833" s="8">
        <v>107</v>
      </c>
      <c r="G833" s="10"/>
      <c r="H833" s="9" t="str">
        <f>IF(G833="","",E833*G833)</f>
        <v/>
      </c>
      <c r="I833" s="11" t="str">
        <f>HYPERLINK("https://optomposuda.ru/product/chasha-eleonora-patina-15sm-15721-1","открыть")</f>
        <v>открыть</v>
      </c>
    </row>
    <row r="834" spans="1:9" x14ac:dyDescent="0.25">
      <c r="A834" t="s">
        <v>3396</v>
      </c>
      <c r="B834" t="s">
        <v>3397</v>
      </c>
      <c r="C834" t="s">
        <v>1751</v>
      </c>
      <c r="D834" s="8">
        <v>8</v>
      </c>
      <c r="E834" s="9">
        <v>263.58</v>
      </c>
      <c r="F834" s="8">
        <v>76</v>
      </c>
      <c r="G834" s="10"/>
      <c r="H834" s="9" t="str">
        <f>IF(G834="","",E834*G834)</f>
        <v/>
      </c>
      <c r="I834" s="11" t="str">
        <f>HYPERLINK("https://optomposuda.ru/product/chasha-elis-15-sm-alyy","открыть")</f>
        <v>открыть</v>
      </c>
    </row>
    <row r="835" spans="1:9" x14ac:dyDescent="0.25">
      <c r="A835" t="s">
        <v>3398</v>
      </c>
      <c r="B835" t="s">
        <v>3399</v>
      </c>
      <c r="C835" t="s">
        <v>1751</v>
      </c>
      <c r="D835" s="8">
        <v>8</v>
      </c>
      <c r="E835" s="9">
        <v>263.58</v>
      </c>
      <c r="F835" s="8">
        <v>121</v>
      </c>
      <c r="G835" s="10"/>
      <c r="H835" s="9" t="str">
        <f>IF(G835="","",E835*G835)</f>
        <v/>
      </c>
      <c r="I835" s="11" t="str">
        <f>HYPERLINK("https://optomposuda.ru/product/chasha-elis-15-sm-zoloto","открыть")</f>
        <v>открыть</v>
      </c>
    </row>
    <row r="836" spans="1:9" x14ac:dyDescent="0.25">
      <c r="A836" t="s">
        <v>3400</v>
      </c>
      <c r="B836" t="s">
        <v>3401</v>
      </c>
      <c r="C836" t="s">
        <v>1751</v>
      </c>
      <c r="D836" s="8">
        <v>8</v>
      </c>
      <c r="E836" s="9">
        <v>263.58</v>
      </c>
      <c r="F836" s="8">
        <v>95</v>
      </c>
      <c r="G836" s="10"/>
      <c r="H836" s="9" t="str">
        <f>IF(G836="","",E836*G836)</f>
        <v/>
      </c>
      <c r="I836" s="11" t="str">
        <f>HYPERLINK("https://optomposuda.ru/product/chasha-elis-15-sm-platina","открыть")</f>
        <v>открыть</v>
      </c>
    </row>
    <row r="837" spans="1:9" x14ac:dyDescent="0.25">
      <c r="A837" t="s">
        <v>3402</v>
      </c>
      <c r="B837" t="s">
        <v>3403</v>
      </c>
      <c r="C837" t="s">
        <v>1751</v>
      </c>
      <c r="D837" s="8">
        <v>4</v>
      </c>
      <c r="E837" s="9">
        <v>455</v>
      </c>
      <c r="F837" s="8">
        <v>131</v>
      </c>
      <c r="G837" s="10"/>
      <c r="H837" s="9" t="str">
        <f>IF(G837="","",E837*G837)</f>
        <v/>
      </c>
      <c r="I837" s="11" t="str">
        <f>HYPERLINK("https://optomposuda.ru/product/chasha-armonia-marrone-21-sm","открыть")</f>
        <v>открыть</v>
      </c>
    </row>
    <row r="838" spans="1:9" x14ac:dyDescent="0.25">
      <c r="A838" t="s">
        <v>3404</v>
      </c>
      <c r="B838" t="s">
        <v>3405</v>
      </c>
      <c r="C838" t="s">
        <v>1751</v>
      </c>
      <c r="D838" s="8">
        <v>4</v>
      </c>
      <c r="E838" s="9">
        <v>455</v>
      </c>
      <c r="F838" s="8">
        <v>275</v>
      </c>
      <c r="G838" s="10"/>
      <c r="H838" s="9" t="str">
        <f>IF(G838="","",E838*G838)</f>
        <v/>
      </c>
      <c r="I838" s="11" t="str">
        <f>HYPERLINK("https://optomposuda.ru/product/chasha-armonia-rosa-21-sm","открыть")</f>
        <v>открыть</v>
      </c>
    </row>
    <row r="839" spans="1:9" x14ac:dyDescent="0.25">
      <c r="A839" t="s">
        <v>3406</v>
      </c>
      <c r="B839" t="s">
        <v>3407</v>
      </c>
      <c r="C839" t="s">
        <v>1751</v>
      </c>
      <c r="D839" s="8">
        <v>4</v>
      </c>
      <c r="E839" s="9">
        <v>354.01</v>
      </c>
      <c r="F839" s="8">
        <v>134</v>
      </c>
      <c r="G839" s="10"/>
      <c r="H839" s="9" t="str">
        <f>IF(G839="","",E839*G839)</f>
        <v/>
      </c>
      <c r="I839" s="11" t="str">
        <f>HYPERLINK("https://optomposuda.ru/product/chasha-trend-10-sm-transparent-brown","открыть")</f>
        <v>открыть</v>
      </c>
    </row>
    <row r="840" spans="1:9" x14ac:dyDescent="0.25">
      <c r="A840" t="s">
        <v>3408</v>
      </c>
      <c r="B840" t="s">
        <v>3409</v>
      </c>
      <c r="C840" t="s">
        <v>1751</v>
      </c>
      <c r="D840" s="8">
        <v>4</v>
      </c>
      <c r="E840" s="9">
        <v>354.01</v>
      </c>
      <c r="F840" s="8">
        <v>269</v>
      </c>
      <c r="G840" s="10"/>
      <c r="H840" s="9" t="str">
        <f>IF(G840="","",E840*G840)</f>
        <v/>
      </c>
      <c r="I840" s="11" t="str">
        <f>HYPERLINK("https://optomposuda.ru/product/chasha-trend-10-sm-transparent-cream","открыть")</f>
        <v>открыть</v>
      </c>
    </row>
    <row r="841" spans="1:9" x14ac:dyDescent="0.25">
      <c r="A841" t="s">
        <v>3410</v>
      </c>
      <c r="B841" t="s">
        <v>3411</v>
      </c>
      <c r="C841" t="s">
        <v>1751</v>
      </c>
      <c r="D841" s="8">
        <v>4</v>
      </c>
      <c r="E841" s="9">
        <v>354.01</v>
      </c>
      <c r="F841" s="8">
        <v>235</v>
      </c>
      <c r="G841" s="10"/>
      <c r="H841" s="9" t="str">
        <f>IF(G841="","",E841*G841)</f>
        <v/>
      </c>
      <c r="I841" s="11" t="str">
        <f>HYPERLINK("https://optomposuda.ru/product/chasha-trend-10-sm-transparent-grey","открыть")</f>
        <v>открыть</v>
      </c>
    </row>
    <row r="842" spans="1:9" x14ac:dyDescent="0.25">
      <c r="A842" t="s">
        <v>3412</v>
      </c>
      <c r="B842" t="s">
        <v>3413</v>
      </c>
      <c r="C842" t="s">
        <v>1751</v>
      </c>
      <c r="D842" s="8">
        <v>12</v>
      </c>
      <c r="E842" s="9">
        <v>242.42</v>
      </c>
      <c r="F842" s="8">
        <v>137</v>
      </c>
      <c r="G842" s="10"/>
      <c r="H842" s="9" t="str">
        <f>IF(G842="","",E842*G842)</f>
        <v/>
      </c>
      <c r="I842" s="11" t="str">
        <f>HYPERLINK("https://optomposuda.ru/product/chasha-victoria-azzurro-12-sm","открыть")</f>
        <v>открыть</v>
      </c>
    </row>
    <row r="843" spans="1:9" x14ac:dyDescent="0.25">
      <c r="A843" t="s">
        <v>3414</v>
      </c>
      <c r="B843" t="s">
        <v>3415</v>
      </c>
      <c r="C843" t="s">
        <v>1751</v>
      </c>
      <c r="D843" s="8">
        <v>16</v>
      </c>
      <c r="E843" s="9">
        <v>269.21</v>
      </c>
      <c r="F843" s="8">
        <v>169</v>
      </c>
      <c r="G843" s="10"/>
      <c r="H843" s="9" t="str">
        <f>IF(G843="","",E843*G843)</f>
        <v/>
      </c>
      <c r="I843" s="11" t="str">
        <f>HYPERLINK("https://optomposuda.ru/product/chasha-victoria-marrone-12-sm","открыть")</f>
        <v>открыть</v>
      </c>
    </row>
    <row r="844" spans="1:9" x14ac:dyDescent="0.25">
      <c r="A844" t="s">
        <v>3416</v>
      </c>
      <c r="B844" t="s">
        <v>3417</v>
      </c>
      <c r="C844" t="s">
        <v>1751</v>
      </c>
      <c r="D844" s="8">
        <v>16</v>
      </c>
      <c r="E844" s="9">
        <v>299.23</v>
      </c>
      <c r="F844" s="8">
        <v>298</v>
      </c>
      <c r="G844" s="10"/>
      <c r="H844" s="9" t="str">
        <f>IF(G844="","",E844*G844)</f>
        <v/>
      </c>
      <c r="I844" s="11" t="str">
        <f>HYPERLINK("https://optomposuda.ru/product/chasha-victoria-regia-12-sm","открыть")</f>
        <v>открыть</v>
      </c>
    </row>
    <row r="845" spans="1:9" x14ac:dyDescent="0.25">
      <c r="A845" t="s">
        <v>3418</v>
      </c>
      <c r="B845" t="s">
        <v>3419</v>
      </c>
      <c r="C845" t="s">
        <v>1751</v>
      </c>
      <c r="D845" s="8">
        <v>1</v>
      </c>
      <c r="E845" s="9">
        <v>200.18</v>
      </c>
      <c r="F845" s="8">
        <v>2</v>
      </c>
      <c r="G845" s="10"/>
      <c r="H845" s="9" t="str">
        <f>IF(G845="","",E845*G845)</f>
        <v/>
      </c>
      <c r="I845" s="11" t="str">
        <f>HYPERLINK("https://optomposuda.ru/product/chasha-zhasmin-krasnyy-15-cm-kor-8sht-16308-2","открыть")</f>
        <v>открыть</v>
      </c>
    </row>
    <row r="846" spans="1:9" x14ac:dyDescent="0.25">
      <c r="A846" t="s">
        <v>3420</v>
      </c>
      <c r="B846" t="s">
        <v>3421</v>
      </c>
      <c r="C846" t="s">
        <v>1751</v>
      </c>
      <c r="D846" s="8">
        <v>1</v>
      </c>
      <c r="E846" s="9">
        <v>475.15</v>
      </c>
      <c r="F846" s="8">
        <v>2</v>
      </c>
      <c r="G846" s="10"/>
      <c r="H846" s="9" t="str">
        <f>IF(G846="","",E846*G846)</f>
        <v/>
      </c>
      <c r="I846" s="11" t="str">
        <f>HYPERLINK("https://optomposuda.ru/product/chasha-fialka-15-cm-serebro-kor-8sht-16308-s","открыть")</f>
        <v>открыть</v>
      </c>
    </row>
    <row r="847" spans="1:9" x14ac:dyDescent="0.25">
      <c r="A847" t="s">
        <v>3422</v>
      </c>
      <c r="B847" t="s">
        <v>3423</v>
      </c>
      <c r="C847" t="s">
        <v>1751</v>
      </c>
      <c r="D847" s="8">
        <v>16</v>
      </c>
      <c r="E847" s="9">
        <v>217.1</v>
      </c>
      <c r="F847" s="8">
        <v>2</v>
      </c>
      <c r="G847" s="10"/>
      <c r="H847" s="9" t="str">
        <f>IF(G847="","",E847*G847)</f>
        <v/>
      </c>
      <c r="I847" s="11" t="str">
        <f>HYPERLINK("https://optomposuda.ru/product/chasha-14-cm-rakushka-golubaya","открыть")</f>
        <v>открыть</v>
      </c>
    </row>
    <row r="848" spans="1:9" x14ac:dyDescent="0.25">
      <c r="A848" t="s">
        <v>3424</v>
      </c>
      <c r="B848" t="s">
        <v>3425</v>
      </c>
      <c r="C848" t="s">
        <v>1751</v>
      </c>
      <c r="D848" s="8">
        <v>16</v>
      </c>
      <c r="E848" s="9">
        <v>217.1</v>
      </c>
      <c r="F848" s="8">
        <v>2</v>
      </c>
      <c r="G848" s="10"/>
      <c r="H848" s="9" t="str">
        <f>IF(G848="","",E848*G848)</f>
        <v/>
      </c>
      <c r="I848" s="11" t="str">
        <f>HYPERLINK("https://optomposuda.ru/product/chasha-14-cm-rakushka-korichnevaya","открыть")</f>
        <v>открыть</v>
      </c>
    </row>
    <row r="849" spans="1:9" x14ac:dyDescent="0.25">
      <c r="A849" t="s">
        <v>3426</v>
      </c>
      <c r="B849" t="s">
        <v>3427</v>
      </c>
      <c r="C849" t="s">
        <v>1751</v>
      </c>
      <c r="D849" s="8">
        <v>16</v>
      </c>
      <c r="E849" s="9">
        <v>217.1</v>
      </c>
      <c r="F849" s="8">
        <v>2</v>
      </c>
      <c r="G849" s="10"/>
      <c r="H849" s="9" t="str">
        <f>IF(G849="","",E849*G849)</f>
        <v/>
      </c>
      <c r="I849" s="11" t="str">
        <f>HYPERLINK("https://optomposuda.ru/product/chasha-14-cm-rakushka-sinyaya","открыть")</f>
        <v>открыть</v>
      </c>
    </row>
    <row r="850" spans="1:9" x14ac:dyDescent="0.25">
      <c r="A850" t="s">
        <v>3428</v>
      </c>
      <c r="B850" t="s">
        <v>3429</v>
      </c>
      <c r="C850" t="s">
        <v>1751</v>
      </c>
      <c r="D850" s="8">
        <v>8</v>
      </c>
      <c r="E850" s="9">
        <v>263.93</v>
      </c>
      <c r="F850" s="8">
        <v>274</v>
      </c>
      <c r="G850" s="10"/>
      <c r="H850" s="9" t="str">
        <f>IF(G850="","",E850*G850)</f>
        <v/>
      </c>
      <c r="I850" s="11" t="str">
        <f>HYPERLINK("https://optomposuda.ru/product/chasha-15-sm-divo","открыть")</f>
        <v>открыть</v>
      </c>
    </row>
    <row r="851" spans="1:9" x14ac:dyDescent="0.25">
      <c r="A851" t="s">
        <v>3430</v>
      </c>
      <c r="B851" t="s">
        <v>3431</v>
      </c>
      <c r="C851" t="s">
        <v>1751</v>
      </c>
      <c r="D851" s="8">
        <v>12</v>
      </c>
      <c r="E851" s="9">
        <v>207.8</v>
      </c>
      <c r="F851" s="8">
        <v>48</v>
      </c>
      <c r="G851" s="10"/>
      <c r="H851" s="9" t="str">
        <f>IF(G851="","",E851*G851)</f>
        <v/>
      </c>
      <c r="I851" s="11" t="str">
        <f>HYPERLINK("https://optomposuda.ru/product/chasha-15-sm-kraski-oseni-krasnaya-19583-r","открыть")</f>
        <v>открыть</v>
      </c>
    </row>
    <row r="852" spans="1:9" x14ac:dyDescent="0.25">
      <c r="A852" t="s">
        <v>3432</v>
      </c>
      <c r="B852" t="s">
        <v>3433</v>
      </c>
      <c r="C852" t="s">
        <v>1751</v>
      </c>
      <c r="D852" s="8">
        <v>12</v>
      </c>
      <c r="E852" s="9">
        <v>248.87</v>
      </c>
      <c r="F852" s="8">
        <v>242</v>
      </c>
      <c r="G852" s="10"/>
      <c r="H852" s="9" t="str">
        <f>IF(G852="","",E852*G852)</f>
        <v/>
      </c>
      <c r="I852" s="11" t="str">
        <f>HYPERLINK("https://optomposuda.ru/product/chasha-15-sm-kraski-oseni-yantar-19583-v","открыть")</f>
        <v>открыть</v>
      </c>
    </row>
    <row r="853" spans="1:9" x14ac:dyDescent="0.25">
      <c r="A853" t="s">
        <v>3434</v>
      </c>
      <c r="B853" t="s">
        <v>3435</v>
      </c>
      <c r="C853" t="s">
        <v>1751</v>
      </c>
      <c r="D853" s="8">
        <v>12</v>
      </c>
      <c r="E853" s="9">
        <v>248.87</v>
      </c>
      <c r="F853" s="8">
        <v>278</v>
      </c>
      <c r="G853" s="10"/>
      <c r="H853" s="9" t="str">
        <f>IF(G853="","",E853*G853)</f>
        <v/>
      </c>
      <c r="I853" s="11" t="str">
        <f>HYPERLINK("https://optomposuda.ru/product/chasha-15-sm-kraski-oseni-green-19583-g","открыть")</f>
        <v>открыть</v>
      </c>
    </row>
    <row r="854" spans="1:9" x14ac:dyDescent="0.25">
      <c r="A854" t="s">
        <v>3436</v>
      </c>
      <c r="B854" t="s">
        <v>3437</v>
      </c>
      <c r="C854" t="s">
        <v>1751</v>
      </c>
      <c r="D854" s="8">
        <v>16</v>
      </c>
      <c r="E854" s="9">
        <v>265.83</v>
      </c>
      <c r="F854" s="8">
        <v>87</v>
      </c>
      <c r="G854" s="10"/>
      <c r="H854" s="9" t="str">
        <f>IF(G854="","",E854*G854)</f>
        <v/>
      </c>
      <c r="I854" s="11" t="str">
        <f>HYPERLINK("https://optomposuda.ru/product/chasha-15-sm-limon","открыть")</f>
        <v>открыть</v>
      </c>
    </row>
    <row r="855" spans="1:9" x14ac:dyDescent="0.25">
      <c r="A855" t="s">
        <v>3438</v>
      </c>
      <c r="B855" t="s">
        <v>3439</v>
      </c>
      <c r="C855" t="s">
        <v>1751</v>
      </c>
      <c r="D855" s="8">
        <v>12</v>
      </c>
      <c r="E855" s="9">
        <v>294.64</v>
      </c>
      <c r="F855" s="8">
        <v>183</v>
      </c>
      <c r="G855" s="10"/>
      <c r="H855" s="9" t="str">
        <f>IF(G855="","",E855*G855)</f>
        <v/>
      </c>
      <c r="I855" s="11" t="str">
        <f>HYPERLINK("https://optomposuda.ru/product/chasha-15-sm-inspiration-amber-16459-v","открыть")</f>
        <v>открыть</v>
      </c>
    </row>
    <row r="856" spans="1:9" x14ac:dyDescent="0.25">
      <c r="A856" t="s">
        <v>3440</v>
      </c>
      <c r="B856" t="s">
        <v>3441</v>
      </c>
      <c r="C856" t="s">
        <v>1751</v>
      </c>
      <c r="D856" s="8">
        <v>8</v>
      </c>
      <c r="E856" s="9">
        <v>160.11</v>
      </c>
      <c r="F856" s="8">
        <v>72</v>
      </c>
      <c r="G856" s="10"/>
      <c r="H856" s="9" t="str">
        <f>IF(G856="","",E856*G856)</f>
        <v/>
      </c>
      <c r="I856" s="11" t="str">
        <f>HYPERLINK("https://optomposuda.ru/product/chasha-15-sm-marseille","открыть")</f>
        <v>открыть</v>
      </c>
    </row>
    <row r="857" spans="1:9" x14ac:dyDescent="0.25">
      <c r="A857" t="s">
        <v>3442</v>
      </c>
      <c r="B857" t="s">
        <v>3443</v>
      </c>
      <c r="C857" t="s">
        <v>1751</v>
      </c>
      <c r="D857" s="8">
        <v>4</v>
      </c>
      <c r="E857" s="9">
        <v>561.87</v>
      </c>
      <c r="F857" s="8">
        <v>219</v>
      </c>
      <c r="G857" s="10"/>
      <c r="H857" s="9" t="str">
        <f>IF(G857="","",E857*G857)</f>
        <v/>
      </c>
      <c r="I857" s="11" t="str">
        <f>HYPERLINK("https://optomposuda.ru/product/chasha-21-sm-agava","открыть")</f>
        <v>открыть</v>
      </c>
    </row>
    <row r="858" spans="1:9" x14ac:dyDescent="0.25">
      <c r="A858" t="s">
        <v>3444</v>
      </c>
      <c r="B858" t="s">
        <v>3445</v>
      </c>
      <c r="C858" t="s">
        <v>1751</v>
      </c>
      <c r="D858" s="8">
        <v>6</v>
      </c>
      <c r="E858" s="9">
        <v>477.29</v>
      </c>
      <c r="F858" s="8">
        <v>5</v>
      </c>
      <c r="G858" s="10"/>
      <c r="H858" s="9" t="str">
        <f>IF(G858="","",E858*G858)</f>
        <v/>
      </c>
      <c r="I858" s="11" t="str">
        <f>HYPERLINK("https://optomposuda.ru/product/chasha-23-sm-limon","открыть")</f>
        <v>открыть</v>
      </c>
    </row>
    <row r="859" spans="1:9" x14ac:dyDescent="0.25">
      <c r="A859" t="s">
        <v>3446</v>
      </c>
      <c r="B859" t="s">
        <v>3447</v>
      </c>
      <c r="C859" t="s">
        <v>1751</v>
      </c>
      <c r="D859" s="8">
        <v>8</v>
      </c>
      <c r="E859" s="9">
        <v>191.55</v>
      </c>
      <c r="F859" s="8">
        <v>6</v>
      </c>
      <c r="G859" s="10"/>
      <c r="H859" s="9" t="str">
        <f>IF(G859="","",E859*G859)</f>
        <v/>
      </c>
      <c r="I859" s="11" t="str">
        <f>HYPERLINK("https://optomposuda.ru/product/chasha-glubokaya-ovalnaya-akvamarin-16-sm","открыть")</f>
        <v>открыть</v>
      </c>
    </row>
    <row r="860" spans="1:9" x14ac:dyDescent="0.25">
      <c r="A860" t="s">
        <v>3448</v>
      </c>
      <c r="B860" t="s">
        <v>3449</v>
      </c>
      <c r="C860" t="s">
        <v>1751</v>
      </c>
      <c r="D860" s="8">
        <v>1</v>
      </c>
      <c r="E860" s="9">
        <v>155.88</v>
      </c>
      <c r="F860" s="8">
        <v>63</v>
      </c>
      <c r="G860" s="10"/>
      <c r="H860" s="9" t="str">
        <f>IF(G860="","",E860*G860)</f>
        <v/>
      </c>
      <c r="I860" s="11" t="str">
        <f>HYPERLINK("https://optomposuda.ru/product/chasha-glubokaya-universalnaya-art-17819-9","открыть")</f>
        <v>открыть</v>
      </c>
    </row>
    <row r="861" spans="1:9" x14ac:dyDescent="0.25">
      <c r="A861" t="s">
        <v>3450</v>
      </c>
      <c r="B861" t="s">
        <v>3451</v>
      </c>
      <c r="C861" t="s">
        <v>1751</v>
      </c>
      <c r="D861" s="8">
        <v>8</v>
      </c>
      <c r="E861" s="9">
        <v>191.55</v>
      </c>
      <c r="F861" s="8">
        <v>8</v>
      </c>
      <c r="G861" s="10"/>
      <c r="H861" s="9" t="str">
        <f>IF(G861="","",E861*G861)</f>
        <v/>
      </c>
      <c r="I861" s="11" t="str">
        <f>HYPERLINK("https://optomposuda.ru/product/chasha-kruglaya-akvamarin-15-sm","открыть")</f>
        <v>открыть</v>
      </c>
    </row>
    <row r="862" spans="1:9" x14ac:dyDescent="0.25">
      <c r="A862" t="s">
        <v>3452</v>
      </c>
      <c r="B862" t="s">
        <v>3453</v>
      </c>
      <c r="C862" t="s">
        <v>1751</v>
      </c>
      <c r="D862" s="8">
        <v>8</v>
      </c>
      <c r="E862" s="9">
        <v>194.38</v>
      </c>
      <c r="F862" s="8">
        <v>2</v>
      </c>
      <c r="G862" s="10"/>
      <c r="H862" s="9" t="str">
        <f>IF(G862="","",E862*G862)</f>
        <v/>
      </c>
      <c r="I862" s="11" t="str">
        <f>HYPERLINK("https://optomposuda.ru/product/chasha-kruglaya-opal-belyy-15-sm","открыть")</f>
        <v>открыть</v>
      </c>
    </row>
    <row r="863" spans="1:9" x14ac:dyDescent="0.25">
      <c r="A863" t="s">
        <v>3454</v>
      </c>
      <c r="B863" t="s">
        <v>3455</v>
      </c>
      <c r="C863" t="s">
        <v>1751</v>
      </c>
      <c r="D863" s="8">
        <v>1</v>
      </c>
      <c r="E863" s="9">
        <v>410.27</v>
      </c>
      <c r="F863" s="8">
        <v>1</v>
      </c>
      <c r="G863" s="10"/>
      <c r="H863" s="9" t="str">
        <f>IF(G863="","",E863*G863)</f>
        <v/>
      </c>
      <c r="I863" s="11" t="str">
        <f>HYPERLINK("https://optomposuda.ru/product/chasha-malenkaya-virdzhiniya-almaz-15sm-bez-upakovki-kor-8sht-17289-1","открыть")</f>
        <v>открыть</v>
      </c>
    </row>
    <row r="864" spans="1:9" x14ac:dyDescent="0.25">
      <c r="A864" t="s">
        <v>3456</v>
      </c>
      <c r="B864" t="s">
        <v>3457</v>
      </c>
      <c r="C864" t="s">
        <v>1751</v>
      </c>
      <c r="D864" s="8">
        <v>1</v>
      </c>
      <c r="E864" s="9">
        <v>172.44</v>
      </c>
      <c r="F864" s="8">
        <v>1</v>
      </c>
      <c r="G864" s="10"/>
      <c r="H864" s="9" t="str">
        <f>IF(G864="","",E864*G864)</f>
        <v/>
      </c>
      <c r="I864" s="11" t="str">
        <f>HYPERLINK("https://optomposuda.ru/product/chasha-malenkaya-virdzhiniya-hrustal-15sm-bez-upakovki-kor-8sht-17289-2","открыть")</f>
        <v>открыть</v>
      </c>
    </row>
    <row r="865" spans="1:9" x14ac:dyDescent="0.25">
      <c r="A865" t="s">
        <v>3458</v>
      </c>
      <c r="B865" t="s">
        <v>3459</v>
      </c>
      <c r="C865" t="s">
        <v>1751</v>
      </c>
      <c r="D865" s="8">
        <v>4</v>
      </c>
      <c r="E865" s="9">
        <v>578.82</v>
      </c>
      <c r="F865" s="8">
        <v>139</v>
      </c>
      <c r="G865" s="10"/>
      <c r="H865" s="9" t="str">
        <f>IF(G865="","",E865*G865)</f>
        <v/>
      </c>
      <c r="I865" s="11" t="str">
        <f>HYPERLINK("https://optomposuda.ru/product/chasha-na-nozhke-retro-briz-16sm-14049a-v","открыть")</f>
        <v>открыть</v>
      </c>
    </row>
    <row r="866" spans="1:9" x14ac:dyDescent="0.25">
      <c r="A866" t="s">
        <v>3460</v>
      </c>
      <c r="B866" t="s">
        <v>3461</v>
      </c>
      <c r="C866" t="s">
        <v>1751</v>
      </c>
      <c r="D866" s="8">
        <v>4</v>
      </c>
      <c r="E866" s="9">
        <v>613.38</v>
      </c>
      <c r="F866" s="8">
        <v>93</v>
      </c>
      <c r="G866" s="10"/>
      <c r="H866" s="9" t="str">
        <f>IF(G866="","",E866*G866)</f>
        <v/>
      </c>
      <c r="I866" s="11" t="str">
        <f>HYPERLINK("https://optomposuda.ru/product/chasha-na-nozhke-retro-briz-20sm-14050a-v","открыть")</f>
        <v>открыть</v>
      </c>
    </row>
    <row r="867" spans="1:9" x14ac:dyDescent="0.25">
      <c r="A867" t="s">
        <v>3462</v>
      </c>
      <c r="B867" t="s">
        <v>3463</v>
      </c>
      <c r="C867" t="s">
        <v>1751</v>
      </c>
      <c r="D867" s="8">
        <v>4</v>
      </c>
      <c r="E867" s="9">
        <v>484.83</v>
      </c>
      <c r="F867" s="8">
        <v>59</v>
      </c>
      <c r="G867" s="10"/>
      <c r="H867" s="9" t="str">
        <f>IF(G867="","",E867*G867)</f>
        <v/>
      </c>
      <c r="I867" s="11" t="str">
        <f>HYPERLINK("https://optomposuda.ru/product/chasha-na-nozhke-retro-grey-16sm-14049a-g","открыть")</f>
        <v>открыть</v>
      </c>
    </row>
    <row r="868" spans="1:9" x14ac:dyDescent="0.25">
      <c r="A868" t="s">
        <v>3464</v>
      </c>
      <c r="B868" t="s">
        <v>3465</v>
      </c>
      <c r="C868" t="s">
        <v>1751</v>
      </c>
      <c r="D868" s="8">
        <v>4</v>
      </c>
      <c r="E868" s="9">
        <v>575.26</v>
      </c>
      <c r="F868" s="8">
        <v>26</v>
      </c>
      <c r="G868" s="10"/>
      <c r="H868" s="9" t="str">
        <f>IF(G868="","",E868*G868)</f>
        <v/>
      </c>
      <c r="I868" s="11" t="str">
        <f>HYPERLINK("https://optomposuda.ru/product/chasha-na-nozhke-rozovyy-lotos-16sm-16536a-r","открыть")</f>
        <v>открыть</v>
      </c>
    </row>
    <row r="869" spans="1:9" x14ac:dyDescent="0.25">
      <c r="A869" t="s">
        <v>3466</v>
      </c>
      <c r="B869" t="s">
        <v>3467</v>
      </c>
      <c r="C869" t="s">
        <v>1751</v>
      </c>
      <c r="D869" s="8">
        <v>4</v>
      </c>
      <c r="E869" s="9">
        <v>837.8</v>
      </c>
      <c r="F869" s="8">
        <v>96</v>
      </c>
      <c r="G869" s="10"/>
      <c r="H869" s="9" t="str">
        <f>IF(G869="","",E869*G869)</f>
        <v/>
      </c>
      <c r="I869" s="11" t="str">
        <f>HYPERLINK("https://optomposuda.ru/product/chasha-na-nozhke-rozovyy-lotos-27sm-16539a-r","открыть")</f>
        <v>открыть</v>
      </c>
    </row>
    <row r="870" spans="1:9" x14ac:dyDescent="0.25">
      <c r="A870" t="s">
        <v>3468</v>
      </c>
      <c r="B870" t="s">
        <v>3469</v>
      </c>
      <c r="C870" t="s">
        <v>1751</v>
      </c>
      <c r="D870" s="8">
        <v>4</v>
      </c>
      <c r="E870" s="9">
        <v>575.26</v>
      </c>
      <c r="F870" s="8">
        <v>287</v>
      </c>
      <c r="G870" s="10"/>
      <c r="H870" s="9" t="str">
        <f>IF(G870="","",E870*G870)</f>
        <v/>
      </c>
      <c r="I870" s="11" t="str">
        <f>HYPERLINK("https://optomposuda.ru/product/chasha-na-nozhke-sirenevyy-lotos-16sm-16536a-s","открыть")</f>
        <v>открыть</v>
      </c>
    </row>
    <row r="871" spans="1:9" x14ac:dyDescent="0.25">
      <c r="A871" t="s">
        <v>3470</v>
      </c>
      <c r="B871" t="s">
        <v>3471</v>
      </c>
      <c r="C871" t="s">
        <v>1751</v>
      </c>
      <c r="D871" s="8">
        <v>4</v>
      </c>
      <c r="E871" s="9">
        <v>837.8</v>
      </c>
      <c r="F871" s="8">
        <v>372</v>
      </c>
      <c r="G871" s="10"/>
      <c r="H871" s="9" t="str">
        <f>IF(G871="","",E871*G871)</f>
        <v/>
      </c>
      <c r="I871" s="11" t="str">
        <f>HYPERLINK("https://optomposuda.ru/product/chasha-na-nozhke-sirenevyy-lotos-27sm-16539a-s","открыть")</f>
        <v>открыть</v>
      </c>
    </row>
    <row r="872" spans="1:9" x14ac:dyDescent="0.25">
      <c r="A872" t="s">
        <v>3472</v>
      </c>
      <c r="B872" t="s">
        <v>3473</v>
      </c>
      <c r="C872" t="s">
        <v>1751</v>
      </c>
      <c r="D872" s="8">
        <v>1</v>
      </c>
      <c r="E872" s="9">
        <v>455.87</v>
      </c>
      <c r="F872" s="8">
        <v>1</v>
      </c>
      <c r="G872" s="10"/>
      <c r="H872" s="9" t="str">
        <f>IF(G872="","",E872*G872)</f>
        <v/>
      </c>
      <c r="I872" s="11" t="str">
        <f>HYPERLINK("https://optomposuda.ru/product/chasha-ovalnaya-virdzhiniya-almaz-20sm-bez-upakovki-kor-4sht-18979-1","открыть")</f>
        <v>открыть</v>
      </c>
    </row>
    <row r="873" spans="1:9" x14ac:dyDescent="0.25">
      <c r="A873" t="s">
        <v>3474</v>
      </c>
      <c r="B873" t="s">
        <v>3475</v>
      </c>
      <c r="C873" t="s">
        <v>1751</v>
      </c>
      <c r="D873" s="8">
        <v>1</v>
      </c>
      <c r="E873" s="9">
        <v>1440.93</v>
      </c>
      <c r="F873" s="8">
        <v>2</v>
      </c>
      <c r="G873" s="10"/>
      <c r="H873" s="9" t="str">
        <f>IF(G873="","",E873*G873)</f>
        <v/>
      </c>
      <c r="I873" s="11" t="str">
        <f>HYPERLINK("https://optomposuda.ru/product/chasha-ovalnaya-virdzhiniya-almaz-40sm-kor-5sht-18981-1","открыть")</f>
        <v>открыть</v>
      </c>
    </row>
    <row r="874" spans="1:9" x14ac:dyDescent="0.25">
      <c r="A874" t="s">
        <v>3476</v>
      </c>
      <c r="B874" t="s">
        <v>3477</v>
      </c>
      <c r="C874" t="s">
        <v>1751</v>
      </c>
      <c r="D874" s="8">
        <v>6</v>
      </c>
      <c r="E874" s="9">
        <v>384.59</v>
      </c>
      <c r="F874" s="8">
        <v>277</v>
      </c>
      <c r="G874" s="10"/>
      <c r="H874" s="9" t="str">
        <f>IF(G874="","",E874*G874)</f>
        <v/>
      </c>
      <c r="I874" s="11" t="str">
        <f>HYPERLINK("https://optomposuda.ru/product/chasha-ovalnaya-21-sm-inspiration-amber-14429-v","открыть")</f>
        <v>открыть</v>
      </c>
    </row>
    <row r="875" spans="1:9" x14ac:dyDescent="0.25">
      <c r="A875" t="s">
        <v>3478</v>
      </c>
      <c r="B875" t="s">
        <v>3479</v>
      </c>
      <c r="C875" t="s">
        <v>1751</v>
      </c>
      <c r="D875" s="8">
        <v>4</v>
      </c>
      <c r="E875" s="9">
        <v>555.17</v>
      </c>
      <c r="F875" s="8">
        <v>203</v>
      </c>
      <c r="G875" s="10"/>
      <c r="H875" s="9" t="str">
        <f>IF(G875="","",E875*G875)</f>
        <v/>
      </c>
      <c r="I875" s="11" t="str">
        <f>HYPERLINK("https://optomposuda.ru/product/chasha-ovalnaya-25-sm-inspiration-amber-14430-v","открыть")</f>
        <v>открыть</v>
      </c>
    </row>
    <row r="876" spans="1:9" x14ac:dyDescent="0.25">
      <c r="A876" t="s">
        <v>3480</v>
      </c>
      <c r="B876" t="s">
        <v>3481</v>
      </c>
      <c r="C876" t="s">
        <v>1751</v>
      </c>
      <c r="D876" s="8">
        <v>8</v>
      </c>
      <c r="E876" s="9">
        <v>168.14</v>
      </c>
      <c r="F876" s="8">
        <v>1</v>
      </c>
      <c r="G876" s="10"/>
      <c r="H876" s="9" t="str">
        <f>IF(G876="","",E876*G876)</f>
        <v/>
      </c>
      <c r="I876" s="11" t="str">
        <f>HYPERLINK("https://optomposuda.ru/product/chasha-ovalnaya-malenkaya-opal-belyy-16-sm","открыть")</f>
        <v>открыть</v>
      </c>
    </row>
    <row r="877" spans="1:9" x14ac:dyDescent="0.25">
      <c r="A877" t="s">
        <v>3482</v>
      </c>
      <c r="B877" t="s">
        <v>3483</v>
      </c>
      <c r="C877" t="s">
        <v>1751</v>
      </c>
      <c r="D877" s="8">
        <v>4</v>
      </c>
      <c r="E877" s="9">
        <v>516.37</v>
      </c>
      <c r="F877" s="8">
        <v>8</v>
      </c>
      <c r="G877" s="10"/>
      <c r="H877" s="9" t="str">
        <f>IF(G877="","",E877*G877)</f>
        <v/>
      </c>
      <c r="I877" s="11" t="str">
        <f>HYPERLINK("https://optomposuda.ru/product/chasha-treugolnaya-s-ogruglennymi-krayami-akvamarin-29-sm-16003-2","открыть")</f>
        <v>открыть</v>
      </c>
    </row>
    <row r="878" spans="1:9" x14ac:dyDescent="0.25">
      <c r="A878" t="s">
        <v>3484</v>
      </c>
      <c r="B878" t="s">
        <v>3485</v>
      </c>
      <c r="C878" t="s">
        <v>1751</v>
      </c>
      <c r="D878" s="8">
        <v>4</v>
      </c>
      <c r="E878" s="9">
        <v>489.52</v>
      </c>
      <c r="F878" s="8">
        <v>130</v>
      </c>
      <c r="G878" s="10"/>
      <c r="H878" s="9" t="str">
        <f>IF(G878="","",E878*G878)</f>
        <v/>
      </c>
      <c r="I878" s="11" t="str">
        <f>HYPERLINK("https://optomposuda.ru/product/chasha-treugolnaya-s-ogruglennymi-krayami-opal-belyy-29-sm","открыть")</f>
        <v>открыть</v>
      </c>
    </row>
    <row r="879" spans="1:9" x14ac:dyDescent="0.25">
      <c r="A879" t="s">
        <v>3486</v>
      </c>
      <c r="B879" t="s">
        <v>3487</v>
      </c>
      <c r="C879" t="s">
        <v>1751</v>
      </c>
      <c r="D879" s="8">
        <v>4</v>
      </c>
      <c r="E879" s="9">
        <v>1254.22</v>
      </c>
      <c r="F879" s="8">
        <v>130</v>
      </c>
      <c r="G879" s="10"/>
      <c r="H879" s="9" t="str">
        <f>IF(G879="","",E879*G879)</f>
        <v/>
      </c>
      <c r="I879" s="11" t="str">
        <f>HYPERLINK("https://optomposuda.ru/product/etazherka-ayvori-korally-21-sm-28-cm","открыть")</f>
        <v>открыть</v>
      </c>
    </row>
    <row r="880" spans="1:9" x14ac:dyDescent="0.25">
      <c r="A880" t="s">
        <v>3488</v>
      </c>
      <c r="B880" t="s">
        <v>3489</v>
      </c>
      <c r="C880" t="s">
        <v>1751</v>
      </c>
      <c r="D880" s="8">
        <v>4</v>
      </c>
      <c r="E880" s="9">
        <v>1254.22</v>
      </c>
      <c r="F880" s="8">
        <v>56</v>
      </c>
      <c r="G880" s="10"/>
      <c r="H880" s="9" t="str">
        <f>IF(G880="","",E880*G880)</f>
        <v/>
      </c>
      <c r="I880" s="11" t="str">
        <f>HYPERLINK("https://optomposuda.ru/product/etazherka-kapuchino-mokko-21-sm-28-cm","открыть")</f>
        <v>открыть</v>
      </c>
    </row>
    <row r="881" spans="1:9" x14ac:dyDescent="0.25">
      <c r="A881" t="s">
        <v>3490</v>
      </c>
      <c r="B881" t="s">
        <v>3491</v>
      </c>
      <c r="C881" t="s">
        <v>1751</v>
      </c>
      <c r="D881" s="8">
        <v>4</v>
      </c>
      <c r="E881" s="9">
        <v>1565.05</v>
      </c>
      <c r="F881" s="8">
        <v>55</v>
      </c>
      <c r="G881" s="10"/>
      <c r="H881" s="9" t="str">
        <f>IF(G881="","",E881*G881)</f>
        <v/>
      </c>
      <c r="I881" s="11" t="str">
        <f>HYPERLINK("https://optomposuda.ru/product/etazherka-victoria-marrone-21-28-sm","открыть")</f>
        <v>открыть</v>
      </c>
    </row>
    <row r="882" spans="1:9" x14ac:dyDescent="0.25">
      <c r="A882" t="s">
        <v>3492</v>
      </c>
      <c r="B882" t="s">
        <v>3493</v>
      </c>
      <c r="C882" t="s">
        <v>1751</v>
      </c>
      <c r="D882" s="8">
        <v>4</v>
      </c>
      <c r="E882" s="9">
        <v>1210.01</v>
      </c>
      <c r="F882" s="8">
        <v>219</v>
      </c>
      <c r="G882" s="10"/>
      <c r="H882" s="9" t="str">
        <f>IF(G882="","",E882*G882)</f>
        <v/>
      </c>
      <c r="I882" s="11" t="str">
        <f>HYPERLINK("https://optomposuda.ru/product/etazherka-dvuhyarusnaya-maki-21-28-sm","открыть")</f>
        <v>открыть</v>
      </c>
    </row>
    <row r="883" spans="1:9" x14ac:dyDescent="0.25">
      <c r="A883" t="s">
        <v>3494</v>
      </c>
      <c r="B883" t="s">
        <v>3495</v>
      </c>
      <c r="C883" t="s">
        <v>1751</v>
      </c>
      <c r="D883" s="8">
        <v>4</v>
      </c>
      <c r="E883" s="9">
        <v>1314.38</v>
      </c>
      <c r="F883" s="8">
        <v>141</v>
      </c>
      <c r="G883" s="10"/>
      <c r="H883" s="9" t="str">
        <f>IF(G883="","",E883*G883)</f>
        <v/>
      </c>
      <c r="I883" s="11" t="str">
        <f>HYPERLINK("https://optomposuda.ru/product/etazherka-dvuhyarusnaya-romashki-18-30-sm","открыть")</f>
        <v>открыть</v>
      </c>
    </row>
    <row r="884" spans="1:9" x14ac:dyDescent="0.25">
      <c r="A884" t="s">
        <v>3496</v>
      </c>
      <c r="B884" t="s">
        <v>3497</v>
      </c>
      <c r="C884" t="s">
        <v>1751</v>
      </c>
      <c r="D884" s="8">
        <v>4</v>
      </c>
      <c r="E884" s="9">
        <v>1337.21</v>
      </c>
      <c r="F884" s="8">
        <v>81</v>
      </c>
      <c r="G884" s="10"/>
      <c r="H884" s="9" t="str">
        <f>IF(G884="","",E884*G884)</f>
        <v/>
      </c>
      <c r="I884" s="11" t="str">
        <f>HYPERLINK("https://optomposuda.ru/product/etazherka-dvuhyarusnaya-victoria-azzurro-21-28-sm","открыть")</f>
        <v>открыть</v>
      </c>
    </row>
    <row r="885" spans="1:9" x14ac:dyDescent="0.25">
      <c r="A885" t="s">
        <v>3498</v>
      </c>
      <c r="B885" t="s">
        <v>3499</v>
      </c>
      <c r="C885" t="s">
        <v>1751</v>
      </c>
      <c r="D885" s="8">
        <v>4</v>
      </c>
      <c r="E885" s="9">
        <v>1337.21</v>
      </c>
      <c r="F885" s="8">
        <v>155</v>
      </c>
      <c r="G885" s="10"/>
      <c r="H885" s="9" t="str">
        <f>IF(G885="","",E885*G885)</f>
        <v/>
      </c>
      <c r="I885" s="11" t="str">
        <f>HYPERLINK("https://optomposuda.ru/product/etazherka-dvuhyarusnaya-victoria-regia-21-28-sm","открыть")</f>
        <v>открыть</v>
      </c>
    </row>
    <row r="886" spans="1:9" x14ac:dyDescent="0.25">
      <c r="A886" s="7" t="s">
        <v>21</v>
      </c>
      <c r="B886" s="7"/>
      <c r="C886" s="7"/>
      <c r="D886" s="7"/>
      <c r="E886" s="7"/>
      <c r="F886" s="7"/>
      <c r="G886" s="7"/>
      <c r="H886" s="7"/>
      <c r="I886" s="7"/>
    </row>
    <row r="887" spans="1:9" x14ac:dyDescent="0.25">
      <c r="A887" t="s">
        <v>3500</v>
      </c>
      <c r="B887" t="s">
        <v>3501</v>
      </c>
      <c r="C887" t="s">
        <v>1751</v>
      </c>
      <c r="D887" s="8">
        <v>16</v>
      </c>
      <c r="E887" s="9">
        <v>111.43</v>
      </c>
      <c r="F887" s="8">
        <v>552</v>
      </c>
      <c r="G887" s="10"/>
      <c r="H887" s="9" t="str">
        <f>IF(G887="","",E887*G887)</f>
        <v/>
      </c>
      <c r="I887" s="11" t="str">
        <f>HYPERLINK("https://optomposuda.ru/product/chasha-dlya-hraneniya-s-kryshkoy-elena-110-ml-8-5h8-5h4","открыть")</f>
        <v>открыть</v>
      </c>
    </row>
    <row r="888" spans="1:9" x14ac:dyDescent="0.25">
      <c r="A888" t="s">
        <v>3502</v>
      </c>
      <c r="B888" t="s">
        <v>3503</v>
      </c>
      <c r="C888" t="s">
        <v>1751</v>
      </c>
      <c r="D888" s="8">
        <v>6</v>
      </c>
      <c r="E888" s="9">
        <v>339.74</v>
      </c>
      <c r="F888" s="8">
        <v>50</v>
      </c>
      <c r="G888" s="10"/>
      <c r="H888" s="9" t="str">
        <f>IF(G888="","",E888*G888)</f>
        <v/>
      </c>
      <c r="I888" s="11" t="str">
        <f>HYPERLINK("https://optomposuda.ru/product/chasha-dlya-hraneniya-s-kryshkoy-elena-1300-ml-20h20h7","открыть")</f>
        <v>открыть</v>
      </c>
    </row>
    <row r="889" spans="1:9" x14ac:dyDescent="0.25">
      <c r="A889" t="s">
        <v>3504</v>
      </c>
      <c r="B889" t="s">
        <v>3505</v>
      </c>
      <c r="C889" t="s">
        <v>1751</v>
      </c>
      <c r="D889" s="8">
        <v>16</v>
      </c>
      <c r="E889" s="9">
        <v>168.51</v>
      </c>
      <c r="F889" s="8">
        <v>446</v>
      </c>
      <c r="G889" s="10"/>
      <c r="H889" s="9" t="str">
        <f>IF(G889="","",E889*G889)</f>
        <v/>
      </c>
      <c r="I889" s="11" t="str">
        <f>HYPERLINK("https://optomposuda.ru/product/chasha-dlya-hraneniya-s-kryshkoy-elena-320-ml-12h12h4-5","открыть")</f>
        <v>открыть</v>
      </c>
    </row>
    <row r="890" spans="1:9" x14ac:dyDescent="0.25">
      <c r="A890" t="s">
        <v>3506</v>
      </c>
      <c r="B890" t="s">
        <v>3507</v>
      </c>
      <c r="C890" t="s">
        <v>1751</v>
      </c>
      <c r="D890" s="8">
        <v>16</v>
      </c>
      <c r="E890" s="9">
        <v>209.28</v>
      </c>
      <c r="F890" s="8">
        <v>114</v>
      </c>
      <c r="G890" s="10"/>
      <c r="H890" s="9" t="str">
        <f>IF(G890="","",E890*G890)</f>
        <v/>
      </c>
      <c r="I890" s="11" t="str">
        <f>HYPERLINK("https://optomposuda.ru/product/chasha-dlya-hraneniya-s-kryshkoy-elena-390-ml-13-5h13-5h5","открыть")</f>
        <v>открыть</v>
      </c>
    </row>
    <row r="891" spans="1:9" x14ac:dyDescent="0.25">
      <c r="A891" t="s">
        <v>3508</v>
      </c>
      <c r="B891" t="s">
        <v>3509</v>
      </c>
      <c r="C891" t="s">
        <v>1751</v>
      </c>
      <c r="D891" s="8">
        <v>12</v>
      </c>
      <c r="E891" s="9">
        <v>247.33</v>
      </c>
      <c r="F891" s="8">
        <v>21</v>
      </c>
      <c r="G891" s="10"/>
      <c r="H891" s="9" t="str">
        <f>IF(G891="","",E891*G891)</f>
        <v/>
      </c>
      <c r="I891" s="11" t="str">
        <f>HYPERLINK("https://optomposuda.ru/product/chasha-dlya-hraneniya-s-kryshkoy-elena-720-ml-16h16h5-5","открыть")</f>
        <v>открыть</v>
      </c>
    </row>
    <row r="892" spans="1:9" x14ac:dyDescent="0.25">
      <c r="A892" t="s">
        <v>3510</v>
      </c>
      <c r="B892" t="s">
        <v>3511</v>
      </c>
      <c r="C892" t="s">
        <v>1751</v>
      </c>
      <c r="D892" s="8">
        <v>16</v>
      </c>
      <c r="E892" s="9">
        <v>111.43</v>
      </c>
      <c r="F892" s="8">
        <v>631</v>
      </c>
      <c r="G892" s="10"/>
      <c r="H892" s="9" t="str">
        <f>IF(G892="","",E892*G892)</f>
        <v/>
      </c>
      <c r="I892" s="11" t="str">
        <f>HYPERLINK("https://optomposuda.ru/product/chasha-dlya-hraneniya-s-kryshkoy-zelazo-110-ml-8-5h8-5h4","открыть")</f>
        <v>открыть</v>
      </c>
    </row>
    <row r="893" spans="1:9" x14ac:dyDescent="0.25">
      <c r="A893" t="s">
        <v>3512</v>
      </c>
      <c r="B893" t="s">
        <v>3513</v>
      </c>
      <c r="C893" t="s">
        <v>1751</v>
      </c>
      <c r="D893" s="8">
        <v>6</v>
      </c>
      <c r="E893" s="9">
        <v>339.74</v>
      </c>
      <c r="F893" s="8">
        <v>318</v>
      </c>
      <c r="G893" s="10"/>
      <c r="H893" s="9" t="str">
        <f>IF(G893="","",E893*G893)</f>
        <v/>
      </c>
      <c r="I893" s="11" t="str">
        <f>HYPERLINK("https://optomposuda.ru/product/chasha-dlya-hraneniya-s-kryshkoy-zelazo-1300-ml-20h20h7","открыть")</f>
        <v>открыть</v>
      </c>
    </row>
    <row r="894" spans="1:9" x14ac:dyDescent="0.25">
      <c r="A894" t="s">
        <v>3514</v>
      </c>
      <c r="B894" t="s">
        <v>3515</v>
      </c>
      <c r="C894" t="s">
        <v>1751</v>
      </c>
      <c r="D894" s="8">
        <v>16</v>
      </c>
      <c r="E894" s="9">
        <v>127.74</v>
      </c>
      <c r="F894" s="8">
        <v>380</v>
      </c>
      <c r="G894" s="10"/>
      <c r="H894" s="9" t="str">
        <f>IF(G894="","",E894*G894)</f>
        <v/>
      </c>
      <c r="I894" s="11" t="str">
        <f>HYPERLINK("https://optomposuda.ru/product/chasha-dlya-hraneniya-s-kryshkoy-zelazo-200-ml-10h10h4-5","открыть")</f>
        <v>открыть</v>
      </c>
    </row>
    <row r="895" spans="1:9" x14ac:dyDescent="0.25">
      <c r="A895" t="s">
        <v>3516</v>
      </c>
      <c r="B895" t="s">
        <v>3517</v>
      </c>
      <c r="C895" t="s">
        <v>1751</v>
      </c>
      <c r="D895" s="8">
        <v>16</v>
      </c>
      <c r="E895" s="9">
        <v>168.51</v>
      </c>
      <c r="F895" s="8">
        <v>639</v>
      </c>
      <c r="G895" s="10"/>
      <c r="H895" s="9" t="str">
        <f>IF(G895="","",E895*G895)</f>
        <v/>
      </c>
      <c r="I895" s="11" t="str">
        <f>HYPERLINK("https://optomposuda.ru/product/chasha-dlya-hraneniya-s-kryshkoy-zelazo-320-ml-12h12h4-5","открыть")</f>
        <v>открыть</v>
      </c>
    </row>
    <row r="896" spans="1:9" x14ac:dyDescent="0.25">
      <c r="A896" t="s">
        <v>3518</v>
      </c>
      <c r="B896" t="s">
        <v>3519</v>
      </c>
      <c r="C896" t="s">
        <v>1751</v>
      </c>
      <c r="D896" s="8">
        <v>16</v>
      </c>
      <c r="E896" s="9">
        <v>209.28</v>
      </c>
      <c r="F896" s="8">
        <v>214</v>
      </c>
      <c r="G896" s="10"/>
      <c r="H896" s="9" t="str">
        <f>IF(G896="","",E896*G896)</f>
        <v/>
      </c>
      <c r="I896" s="11" t="str">
        <f>HYPERLINK("https://optomposuda.ru/product/chasha-dlya-hraneniya-s-kryshkoy-zelazo-390-ml-13-5h13-5h5","открыть")</f>
        <v>открыть</v>
      </c>
    </row>
    <row r="897" spans="1:9" x14ac:dyDescent="0.25">
      <c r="A897" s="7" t="s">
        <v>354</v>
      </c>
      <c r="B897" s="7"/>
      <c r="C897" s="7"/>
      <c r="D897" s="7"/>
      <c r="E897" s="7"/>
      <c r="F897" s="7"/>
      <c r="G897" s="7"/>
      <c r="H897" s="7"/>
      <c r="I897" s="7"/>
    </row>
    <row r="898" spans="1:9" x14ac:dyDescent="0.25">
      <c r="A898" t="s">
        <v>3520</v>
      </c>
      <c r="B898" t="s">
        <v>3521</v>
      </c>
      <c r="C898" t="s">
        <v>1751</v>
      </c>
      <c r="D898" s="8">
        <v>8</v>
      </c>
      <c r="E898" s="9">
        <v>883.98</v>
      </c>
      <c r="F898" s="8">
        <v>40</v>
      </c>
      <c r="G898" s="10"/>
      <c r="H898" s="9" t="str">
        <f>IF(G898="","",E898*G898)</f>
        <v/>
      </c>
      <c r="I898" s="11" t="str">
        <f>HYPERLINK("https://optomposuda.ru/product/nabor-tarelok-kuvshinka-15-sm-4-shtuki-18419","открыть")</f>
        <v>открыть</v>
      </c>
    </row>
    <row r="899" spans="1:9" x14ac:dyDescent="0.25">
      <c r="A899" t="s">
        <v>3522</v>
      </c>
      <c r="B899" t="s">
        <v>3523</v>
      </c>
      <c r="C899" t="s">
        <v>1751</v>
      </c>
      <c r="D899" s="8">
        <v>4</v>
      </c>
      <c r="E899" s="9">
        <v>1287.23</v>
      </c>
      <c r="F899" s="8">
        <v>59</v>
      </c>
      <c r="G899" s="10"/>
      <c r="H899" s="9" t="str">
        <f>IF(G899="","",E899*G899)</f>
        <v/>
      </c>
      <c r="I899" s="11" t="str">
        <f>HYPERLINK("https://optomposuda.ru/product/nabor-tarelok-magma-house-7-predmetov-zheltyy","открыть")</f>
        <v>открыть</v>
      </c>
    </row>
    <row r="900" spans="1:9" x14ac:dyDescent="0.25">
      <c r="A900" t="s">
        <v>3524</v>
      </c>
      <c r="B900" t="s">
        <v>3525</v>
      </c>
      <c r="C900" t="s">
        <v>1751</v>
      </c>
      <c r="D900" s="8">
        <v>4</v>
      </c>
      <c r="E900" s="9">
        <v>1373</v>
      </c>
      <c r="F900" s="8">
        <v>302</v>
      </c>
      <c r="G900" s="10"/>
      <c r="H900" s="9" t="str">
        <f>IF(G900="","",E900*G900)</f>
        <v/>
      </c>
      <c r="I900" s="11" t="str">
        <f>HYPERLINK("https://optomposuda.ru/product/nabor-tarelok-magma-house-7-predmetov-seryy","открыть")</f>
        <v>открыть</v>
      </c>
    </row>
    <row r="901" spans="1:9" x14ac:dyDescent="0.25">
      <c r="A901" t="s">
        <v>3526</v>
      </c>
      <c r="B901" t="s">
        <v>3527</v>
      </c>
      <c r="C901" t="s">
        <v>1751</v>
      </c>
      <c r="D901" s="8">
        <v>4</v>
      </c>
      <c r="E901" s="9">
        <v>634</v>
      </c>
      <c r="F901" s="8">
        <v>44</v>
      </c>
      <c r="G901" s="10"/>
      <c r="H901" s="9" t="str">
        <f>IF(G901="","",E901*G901)</f>
        <v/>
      </c>
      <c r="I901" s="11" t="str">
        <f>HYPERLINK("https://optomposuda.ru/product/nabor-chash-magma-house-6-predmetov","открыть")</f>
        <v>открыть</v>
      </c>
    </row>
    <row r="902" spans="1:9" x14ac:dyDescent="0.25">
      <c r="A902" s="7" t="s">
        <v>74</v>
      </c>
      <c r="B902" s="7"/>
      <c r="C902" s="7"/>
      <c r="D902" s="7"/>
      <c r="E902" s="7"/>
      <c r="F902" s="7"/>
      <c r="G902" s="7"/>
      <c r="H902" s="7"/>
      <c r="I902" s="7"/>
    </row>
    <row r="903" spans="1:9" x14ac:dyDescent="0.25">
      <c r="A903" t="s">
        <v>3528</v>
      </c>
      <c r="B903" t="s">
        <v>3529</v>
      </c>
      <c r="C903" t="s">
        <v>1751</v>
      </c>
      <c r="D903" s="8">
        <v>48</v>
      </c>
      <c r="E903" s="9">
        <v>103.6</v>
      </c>
      <c r="F903" s="8">
        <v>494</v>
      </c>
      <c r="G903" s="10"/>
      <c r="H903" s="9" t="str">
        <f>IF(G903="","",E903*G903)</f>
        <v/>
      </c>
      <c r="I903" s="11" t="str">
        <f>HYPERLINK("https://optomposuda.ru/product/chasha-gerbera-15-sm","открыть")</f>
        <v>открыть</v>
      </c>
    </row>
    <row r="904" spans="1:9" x14ac:dyDescent="0.25">
      <c r="A904" t="s">
        <v>3530</v>
      </c>
      <c r="B904" t="s">
        <v>3531</v>
      </c>
      <c r="C904" t="s">
        <v>1751</v>
      </c>
      <c r="D904" s="8">
        <v>48</v>
      </c>
      <c r="E904" s="9">
        <v>130.46</v>
      </c>
      <c r="F904" s="8">
        <v>1334</v>
      </c>
      <c r="G904" s="10"/>
      <c r="H904" s="9" t="str">
        <f>IF(G904="","",E904*G904)</f>
        <v/>
      </c>
      <c r="I904" s="11" t="str">
        <f>HYPERLINK("https://optomposuda.ru/product/chasha-zolotaya-romashka-15-sm","открыть")</f>
        <v>открыть</v>
      </c>
    </row>
    <row r="905" spans="1:9" x14ac:dyDescent="0.25">
      <c r="A905" t="s">
        <v>3532</v>
      </c>
      <c r="B905" t="s">
        <v>3533</v>
      </c>
      <c r="C905" t="s">
        <v>1751</v>
      </c>
      <c r="D905" s="8">
        <v>48</v>
      </c>
      <c r="E905" s="9">
        <v>170</v>
      </c>
      <c r="F905" s="8">
        <v>1462</v>
      </c>
      <c r="G905" s="10"/>
      <c r="H905" s="9" t="str">
        <f>IF(G905="","",E905*G905)</f>
        <v/>
      </c>
      <c r="I905" s="11" t="str">
        <f>HYPERLINK("https://optomposuda.ru/product/chasha-krasnyy-cvetok-15-sm","открыть")</f>
        <v>открыть</v>
      </c>
    </row>
    <row r="906" spans="1:9" x14ac:dyDescent="0.25">
      <c r="A906" t="s">
        <v>3534</v>
      </c>
      <c r="B906" t="s">
        <v>3535</v>
      </c>
      <c r="C906" t="s">
        <v>1751</v>
      </c>
      <c r="D906" s="8">
        <v>48</v>
      </c>
      <c r="E906" s="9">
        <v>170</v>
      </c>
      <c r="F906" s="8">
        <v>4757</v>
      </c>
      <c r="G906" s="10"/>
      <c r="H906" s="9" t="str">
        <f>IF(G906="","",E906*G906)</f>
        <v/>
      </c>
      <c r="I906" s="11" t="str">
        <f>HYPERLINK("https://optomposuda.ru/product/chasha-laskovyy-may-15-sm","открыть")</f>
        <v>открыть</v>
      </c>
    </row>
    <row r="907" spans="1:9" x14ac:dyDescent="0.25">
      <c r="A907" t="s">
        <v>3536</v>
      </c>
      <c r="B907" t="s">
        <v>3537</v>
      </c>
      <c r="C907" t="s">
        <v>1751</v>
      </c>
      <c r="D907" s="8">
        <v>48</v>
      </c>
      <c r="E907" s="9">
        <v>170</v>
      </c>
      <c r="F907" s="8">
        <v>4589</v>
      </c>
      <c r="G907" s="10"/>
      <c r="H907" s="9" t="str">
        <f>IF(G907="","",E907*G907)</f>
        <v/>
      </c>
      <c r="I907" s="11" t="str">
        <f>HYPERLINK("https://optomposuda.ru/product/chasha-lugovoy-cvetok-15-sm","открыть")</f>
        <v>открыть</v>
      </c>
    </row>
    <row r="908" spans="1:9" x14ac:dyDescent="0.25">
      <c r="A908" t="s">
        <v>3538</v>
      </c>
      <c r="B908" t="s">
        <v>3336</v>
      </c>
      <c r="C908" t="s">
        <v>1751</v>
      </c>
      <c r="D908" s="8">
        <v>48</v>
      </c>
      <c r="E908" s="9">
        <v>130.46</v>
      </c>
      <c r="F908" s="8">
        <v>2</v>
      </c>
      <c r="G908" s="10"/>
      <c r="H908" s="9" t="str">
        <f>IF(G908="","",E908*G908)</f>
        <v/>
      </c>
      <c r="I908" s="11" t="str">
        <f>HYPERLINK("https://optomposuda.ru/product/chasha-morskaya-zhemchuzhina-15-sm","открыть")</f>
        <v>открыть</v>
      </c>
    </row>
    <row r="909" spans="1:9" x14ac:dyDescent="0.25">
      <c r="A909" t="s">
        <v>262</v>
      </c>
      <c r="B909" t="s">
        <v>3539</v>
      </c>
      <c r="C909" t="s">
        <v>1751</v>
      </c>
      <c r="D909" s="8">
        <v>48</v>
      </c>
      <c r="E909" s="9">
        <v>170</v>
      </c>
      <c r="F909" s="8">
        <v>4530</v>
      </c>
      <c r="G909" s="10"/>
      <c r="H909" s="9" t="str">
        <f>IF(G909="","",E909*G909)</f>
        <v/>
      </c>
      <c r="I909" s="11" t="str">
        <f>HYPERLINK("https://optomposuda.ru/product/chasha-sukkulent-15-sm","открыть")</f>
        <v>открыть</v>
      </c>
    </row>
    <row r="910" spans="1:9" x14ac:dyDescent="0.25">
      <c r="A910" t="s">
        <v>3540</v>
      </c>
      <c r="B910" t="s">
        <v>3541</v>
      </c>
      <c r="C910" t="s">
        <v>1751</v>
      </c>
      <c r="D910" s="8">
        <v>48</v>
      </c>
      <c r="E910" s="9">
        <v>103.6</v>
      </c>
      <c r="F910" s="8">
        <v>4912</v>
      </c>
      <c r="G910" s="10"/>
      <c r="H910" s="9" t="str">
        <f>IF(G910="","",E910*G910)</f>
        <v/>
      </c>
      <c r="I910" s="11" t="str">
        <f>HYPERLINK("https://optomposuda.ru/product/chasha-fialka-15-sm","открыть")</f>
        <v>открыть</v>
      </c>
    </row>
    <row r="911" spans="1:9" x14ac:dyDescent="0.25">
      <c r="A911" t="s">
        <v>3542</v>
      </c>
      <c r="B911" t="s">
        <v>3543</v>
      </c>
      <c r="C911" t="s">
        <v>1751</v>
      </c>
      <c r="D911" s="8">
        <v>48</v>
      </c>
      <c r="E911" s="9">
        <v>103.6</v>
      </c>
      <c r="F911" s="8">
        <v>2708</v>
      </c>
      <c r="G911" s="10"/>
      <c r="H911" s="9" t="str">
        <f>IF(G911="","",E911*G911)</f>
        <v/>
      </c>
      <c r="I911" s="11" t="str">
        <f>HYPERLINK("https://optomposuda.ru/product/chasha-cvetochnaya-fantaziya-15sm","открыть")</f>
        <v>открыть</v>
      </c>
    </row>
  </sheetData>
  <autoFilter ref="A7:I7"/>
  <mergeCells count="8">
    <mergeCell ref="A1:I1"/>
    <mergeCell ref="A2:I2"/>
    <mergeCell ref="A3:I3"/>
    <mergeCell ref="A4:I4"/>
    <mergeCell ref="A8:I8"/>
    <mergeCell ref="A886:I886"/>
    <mergeCell ref="A897:I897"/>
    <mergeCell ref="A902:I90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3544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SUM(H8:H24)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41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3545</v>
      </c>
      <c r="B9" t="s">
        <v>3546</v>
      </c>
      <c r="C9" t="s">
        <v>3544</v>
      </c>
      <c r="D9" s="8">
        <v>40</v>
      </c>
      <c r="E9" s="9">
        <v>35.49</v>
      </c>
      <c r="F9" s="8">
        <v>13</v>
      </c>
      <c r="G9" s="10"/>
      <c r="H9" s="9" t="str">
        <f>IF(G9="","",E9*G9)</f>
        <v/>
      </c>
      <c r="I9" s="11" t="str">
        <f>HYPERLINK("https://optomposuda.ru/product/2506-2521z-kashpo-krugloe-zelenoe-1-10l-15h12","открыть")</f>
        <v>открыть</v>
      </c>
    </row>
    <row r="10" spans="1:9" x14ac:dyDescent="0.25">
      <c r="A10" s="7" t="s">
        <v>74</v>
      </c>
      <c r="B10" s="7"/>
      <c r="C10" s="7"/>
      <c r="D10" s="7"/>
      <c r="E10" s="7"/>
      <c r="F10" s="7"/>
      <c r="G10" s="7"/>
      <c r="H10" s="7"/>
      <c r="I10" s="7"/>
    </row>
    <row r="11" spans="1:9" x14ac:dyDescent="0.25">
      <c r="A11" t="s">
        <v>3547</v>
      </c>
      <c r="B11" t="s">
        <v>3548</v>
      </c>
      <c r="C11" t="s">
        <v>3544</v>
      </c>
      <c r="D11" s="8">
        <v>48</v>
      </c>
      <c r="E11" s="9">
        <v>75.37</v>
      </c>
      <c r="F11" s="8">
        <v>7</v>
      </c>
      <c r="G11" s="10"/>
      <c r="H11" s="9" t="str">
        <f>IF(G11="","",E11*G11)</f>
        <v/>
      </c>
      <c r="I11" s="11" t="str">
        <f>HYPERLINK("https://optomposuda.ru/product/0912-stakan-500ml-bodrum","открыть")</f>
        <v>открыть</v>
      </c>
    </row>
    <row r="12" spans="1:9" x14ac:dyDescent="0.25">
      <c r="A12" t="s">
        <v>3549</v>
      </c>
      <c r="B12" t="s">
        <v>3550</v>
      </c>
      <c r="C12" t="s">
        <v>3544</v>
      </c>
      <c r="D12" s="8">
        <v>48</v>
      </c>
      <c r="E12" s="9">
        <v>78.93</v>
      </c>
      <c r="F12" s="8">
        <v>38</v>
      </c>
      <c r="G12" s="10"/>
      <c r="H12" s="9" t="str">
        <f>IF(G12="","",E12*G12)</f>
        <v/>
      </c>
      <c r="I12" s="11" t="str">
        <f>HYPERLINK("https://optomposuda.ru/product/0922f-stakan-500ml-elit-fioletovyy","открыть")</f>
        <v>открыть</v>
      </c>
    </row>
    <row r="13" spans="1:9" x14ac:dyDescent="0.25">
      <c r="A13" t="s">
        <v>3551</v>
      </c>
      <c r="B13" t="s">
        <v>3552</v>
      </c>
      <c r="C13" t="s">
        <v>3544</v>
      </c>
      <c r="D13" s="8">
        <v>48</v>
      </c>
      <c r="E13" s="9">
        <v>78.93</v>
      </c>
      <c r="F13" s="8">
        <v>17</v>
      </c>
      <c r="G13" s="10"/>
      <c r="H13" s="9" t="str">
        <f>IF(G13="","",E13*G13)</f>
        <v/>
      </c>
      <c r="I13" s="11" t="str">
        <f>HYPERLINK("https://optomposuda.ru/product/0922g-stakan-500ml-elit-zheltyy","открыть")</f>
        <v>открыть</v>
      </c>
    </row>
    <row r="14" spans="1:9" x14ac:dyDescent="0.25">
      <c r="A14" t="s">
        <v>3553</v>
      </c>
      <c r="B14" t="s">
        <v>3554</v>
      </c>
      <c r="C14" t="s">
        <v>3544</v>
      </c>
      <c r="D14" s="8">
        <v>48</v>
      </c>
      <c r="E14" s="9">
        <v>78.93</v>
      </c>
      <c r="F14" s="8">
        <v>7</v>
      </c>
      <c r="G14" s="10"/>
      <c r="H14" s="9" t="str">
        <f>IF(G14="","",E14*G14)</f>
        <v/>
      </c>
      <c r="I14" s="11" t="str">
        <f>HYPERLINK("https://optomposuda.ru/product/0922t-stakan-500ml-elit-biryuza","открыть")</f>
        <v>открыть</v>
      </c>
    </row>
    <row r="15" spans="1:9" x14ac:dyDescent="0.25">
      <c r="A15" t="s">
        <v>3555</v>
      </c>
      <c r="B15" t="s">
        <v>3556</v>
      </c>
      <c r="C15" t="s">
        <v>3544</v>
      </c>
      <c r="D15" s="8">
        <v>48</v>
      </c>
      <c r="E15" s="9">
        <v>57.56</v>
      </c>
      <c r="F15" s="8">
        <v>247</v>
      </c>
      <c r="G15" s="10"/>
      <c r="H15" s="9" t="str">
        <f>IF(G15="","",E15*G15)</f>
        <v/>
      </c>
      <c r="I15" s="11" t="str">
        <f>HYPERLINK("https://optomposuda.ru/product/0932c-salatnik-450ml-pryamoug-akva-siniy","открыть")</f>
        <v>открыть</v>
      </c>
    </row>
    <row r="16" spans="1:9" x14ac:dyDescent="0.25">
      <c r="A16" t="s">
        <v>3557</v>
      </c>
      <c r="B16" t="s">
        <v>3558</v>
      </c>
      <c r="C16" t="s">
        <v>3544</v>
      </c>
      <c r="D16" s="8">
        <v>24</v>
      </c>
      <c r="E16" s="9">
        <v>85.54</v>
      </c>
      <c r="F16" s="8">
        <v>29</v>
      </c>
      <c r="G16" s="10"/>
      <c r="H16" s="9" t="str">
        <f>IF(G16="","",E16*G16)</f>
        <v/>
      </c>
      <c r="I16" s="11" t="str">
        <f>HYPERLINK("https://optomposuda.ru/product/0933c-salatnik-750ml-pryamoug-akva-siniy","открыть")</f>
        <v>открыть</v>
      </c>
    </row>
    <row r="17" spans="1:9" x14ac:dyDescent="0.25">
      <c r="A17" t="s">
        <v>3559</v>
      </c>
      <c r="B17" t="s">
        <v>3560</v>
      </c>
      <c r="C17" t="s">
        <v>3544</v>
      </c>
      <c r="D17" s="8">
        <v>24</v>
      </c>
      <c r="E17" s="9">
        <v>80.45</v>
      </c>
      <c r="F17" s="8">
        <v>134</v>
      </c>
      <c r="G17" s="10"/>
      <c r="H17" s="9" t="str">
        <f>IF(G17="","",E17*G17)</f>
        <v/>
      </c>
      <c r="I17" s="11" t="str">
        <f>HYPERLINK("https://optomposuda.ru/product/0937o-salatnik-800ml-kvadratnyy-akva-oranzh","открыть")</f>
        <v>открыть</v>
      </c>
    </row>
    <row r="18" spans="1:9" x14ac:dyDescent="0.25">
      <c r="A18" t="s">
        <v>3561</v>
      </c>
      <c r="B18" t="s">
        <v>3562</v>
      </c>
      <c r="C18" t="s">
        <v>3544</v>
      </c>
      <c r="D18" s="8">
        <v>48</v>
      </c>
      <c r="E18" s="9">
        <v>85.54</v>
      </c>
      <c r="F18" s="8">
        <v>241</v>
      </c>
      <c r="G18" s="10"/>
      <c r="H18" s="9" t="str">
        <f>IF(G18="","",E18*G18)</f>
        <v/>
      </c>
      <c r="I18" s="11" t="str">
        <f>HYPERLINK("https://optomposuda.ru/product/0943g-salatnik-750ml-pryamoug-bodrum-zheltyy","открыть")</f>
        <v>открыть</v>
      </c>
    </row>
    <row r="19" spans="1:9" x14ac:dyDescent="0.25">
      <c r="A19" t="s">
        <v>3563</v>
      </c>
      <c r="B19" t="s">
        <v>3564</v>
      </c>
      <c r="C19" t="s">
        <v>3544</v>
      </c>
      <c r="D19" s="8">
        <v>24</v>
      </c>
      <c r="E19" s="9">
        <v>65.3</v>
      </c>
      <c r="F19" s="8">
        <v>442</v>
      </c>
      <c r="G19" s="10"/>
      <c r="H19" s="9" t="str">
        <f>IF(G19="","",E19*G19)</f>
        <v/>
      </c>
      <c r="I19" s="11" t="str">
        <f>HYPERLINK("https://optomposuda.ru/product/0958c-chasha-dlya-fruktov-800ml-akva-siniy","открыть")</f>
        <v>открыть</v>
      </c>
    </row>
    <row r="20" spans="1:9" x14ac:dyDescent="0.25">
      <c r="A20" t="s">
        <v>3565</v>
      </c>
      <c r="B20" t="s">
        <v>3566</v>
      </c>
      <c r="C20" t="s">
        <v>3544</v>
      </c>
      <c r="D20" s="8">
        <v>24</v>
      </c>
      <c r="E20" s="9">
        <v>65.3</v>
      </c>
      <c r="F20" s="8">
        <v>1</v>
      </c>
      <c r="G20" s="10"/>
      <c r="H20" s="9" t="str">
        <f>IF(G20="","",E20*G20)</f>
        <v/>
      </c>
      <c r="I20" s="11" t="str">
        <f>HYPERLINK("https://optomposuda.ru/product/0958rchasha-dlya-fruktov-800ml-akva-krasnyy","открыть")</f>
        <v>открыть</v>
      </c>
    </row>
    <row r="21" spans="1:9" x14ac:dyDescent="0.25">
      <c r="A21" t="s">
        <v>3567</v>
      </c>
      <c r="B21" t="s">
        <v>3568</v>
      </c>
      <c r="C21" t="s">
        <v>3544</v>
      </c>
      <c r="D21" s="8">
        <v>24</v>
      </c>
      <c r="E21" s="9">
        <v>65.3</v>
      </c>
      <c r="F21" s="8">
        <v>25</v>
      </c>
      <c r="G21" s="10"/>
      <c r="H21" s="9" t="str">
        <f>IF(G21="","",E21*G21)</f>
        <v/>
      </c>
      <c r="I21" s="11" t="str">
        <f>HYPERLINK("https://optomposuda.ru/product/0961o-chasha-dlya-fruktov-800ml-bodrum-oranzhevyy","открыть")</f>
        <v>открыть</v>
      </c>
    </row>
    <row r="22" spans="1:9" x14ac:dyDescent="0.25">
      <c r="A22" t="s">
        <v>3569</v>
      </c>
      <c r="B22" t="s">
        <v>3570</v>
      </c>
      <c r="C22" t="s">
        <v>3544</v>
      </c>
      <c r="D22" s="8">
        <v>24</v>
      </c>
      <c r="E22" s="9">
        <v>66.58</v>
      </c>
      <c r="F22" s="8">
        <v>1</v>
      </c>
      <c r="G22" s="10"/>
      <c r="H22" s="9" t="str">
        <f>IF(G22="","",E22*G22)</f>
        <v/>
      </c>
      <c r="I22" s="11" t="str">
        <f>HYPERLINK("https://optomposuda.ru/product/0993r-salatnik-800ml-kvadrat-mono-krasnyy","открыть")</f>
        <v>открыть</v>
      </c>
    </row>
    <row r="23" spans="1:9" x14ac:dyDescent="0.25">
      <c r="A23" t="s">
        <v>3571</v>
      </c>
      <c r="B23" t="s">
        <v>3572</v>
      </c>
      <c r="C23" t="s">
        <v>3544</v>
      </c>
      <c r="D23" s="8">
        <v>24</v>
      </c>
      <c r="E23" s="9">
        <v>66.58</v>
      </c>
      <c r="F23" s="8">
        <v>1</v>
      </c>
      <c r="G23" s="10"/>
      <c r="H23" s="9" t="str">
        <f>IF(G23="","",E23*G23)</f>
        <v/>
      </c>
      <c r="I23" s="11" t="str">
        <f>HYPERLINK("https://optomposuda.ru/product/0993z-salatnik-800ml-kvadrat-mono-zelenyy","открыть")</f>
        <v>открыть</v>
      </c>
    </row>
    <row r="24" spans="1:9" x14ac:dyDescent="0.25">
      <c r="A24" t="s">
        <v>3573</v>
      </c>
      <c r="B24" t="s">
        <v>3574</v>
      </c>
      <c r="C24" t="s">
        <v>3544</v>
      </c>
      <c r="D24" s="8">
        <v>1</v>
      </c>
      <c r="E24" s="9">
        <v>2547</v>
      </c>
      <c r="F24" s="8">
        <v>7</v>
      </c>
      <c r="G24" s="10"/>
      <c r="H24" s="9" t="str">
        <f>IF(G24="","",E24*G24)</f>
        <v/>
      </c>
      <c r="I24" s="11" t="str">
        <f>HYPERLINK("https://optomposuda.ru/product/komod-klassika-pletenka-4-h-sekcionnyy","открыть")</f>
        <v>открыть</v>
      </c>
    </row>
  </sheetData>
  <autoFilter ref="A7:I7"/>
  <mergeCells count="6">
    <mergeCell ref="A1:I1"/>
    <mergeCell ref="A2:I2"/>
    <mergeCell ref="A3:I3"/>
    <mergeCell ref="A4:I4"/>
    <mergeCell ref="A8:I8"/>
    <mergeCell ref="A10:I10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3575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SUM(H8:H20)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145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3576</v>
      </c>
      <c r="B9" t="s">
        <v>3577</v>
      </c>
      <c r="C9" t="s">
        <v>3575</v>
      </c>
      <c r="D9" s="8">
        <v>4</v>
      </c>
      <c r="E9" s="9">
        <v>2437.58</v>
      </c>
      <c r="F9" s="8">
        <v>42</v>
      </c>
      <c r="G9" s="10"/>
      <c r="H9" s="9" t="str">
        <f>IF(G9="","",E9*G9)</f>
        <v/>
      </c>
      <c r="I9" s="11" t="str">
        <f>HYPERLINK("https://optomposuda.ru/product/kastryulya-10-0lt-royal-nerzhaveyuschaya-stal-kapsulnoe-dno-30x20-so-stalnoy-kryshkoy","открыть")</f>
        <v>открыть</v>
      </c>
    </row>
    <row r="10" spans="1:9" x14ac:dyDescent="0.25">
      <c r="A10" t="s">
        <v>3578</v>
      </c>
      <c r="B10" t="s">
        <v>3579</v>
      </c>
      <c r="C10" t="s">
        <v>3575</v>
      </c>
      <c r="D10" s="8">
        <v>4</v>
      </c>
      <c r="E10" s="9">
        <v>2932.24</v>
      </c>
      <c r="F10" s="8">
        <v>98</v>
      </c>
      <c r="G10" s="10"/>
      <c r="H10" s="9" t="str">
        <f>IF(G10="","",E10*G10)</f>
        <v/>
      </c>
      <c r="I10" s="11" t="str">
        <f>HYPERLINK("https://optomposuda.ru/product/kastryulya-13-0lt-royal-nerzhaveyuschaya-stal-kapsulnoe-dno-32x20-so-stalnoy-kryshkoy","открыть")</f>
        <v>открыть</v>
      </c>
    </row>
    <row r="11" spans="1:9" x14ac:dyDescent="0.25">
      <c r="A11" t="s">
        <v>3580</v>
      </c>
      <c r="B11" t="s">
        <v>3581</v>
      </c>
      <c r="C11" t="s">
        <v>3575</v>
      </c>
      <c r="D11" s="8">
        <v>4</v>
      </c>
      <c r="E11" s="9">
        <v>3682.97</v>
      </c>
      <c r="F11" s="8">
        <v>138</v>
      </c>
      <c r="G11" s="10"/>
      <c r="H11" s="9" t="str">
        <f>IF(G11="","",E11*G11)</f>
        <v/>
      </c>
      <c r="I11" s="11" t="str">
        <f>HYPERLINK("https://optomposuda.ru/product/kastryulya-16-0lt-royal-nerzhaveyuschaya-stal-kapsulnoe-dno-34x20-so-stalnoy-kryshkoy","открыть")</f>
        <v>открыть</v>
      </c>
    </row>
    <row r="12" spans="1:9" x14ac:dyDescent="0.25">
      <c r="A12" t="s">
        <v>3582</v>
      </c>
      <c r="B12" t="s">
        <v>3583</v>
      </c>
      <c r="C12" t="s">
        <v>3575</v>
      </c>
      <c r="D12" s="8">
        <v>10</v>
      </c>
      <c r="E12" s="9">
        <v>1545.4</v>
      </c>
      <c r="F12" s="8">
        <v>208</v>
      </c>
      <c r="G12" s="10"/>
      <c r="H12" s="9" t="str">
        <f>IF(G12="","",E12*G12)</f>
        <v/>
      </c>
      <c r="I12" s="11" t="str">
        <f>HYPERLINK("https://optomposuda.ru/product/kastryulya-2-6-lt-royal-nerzhaveyuschaya-stalkapsulnoe-dno-20x10-so-stalnoy-kryshkoy","открыть")</f>
        <v>открыть</v>
      </c>
    </row>
    <row r="13" spans="1:9" x14ac:dyDescent="0.25">
      <c r="A13" t="s">
        <v>3584</v>
      </c>
      <c r="B13" t="s">
        <v>3585</v>
      </c>
      <c r="C13" t="s">
        <v>3575</v>
      </c>
      <c r="D13" s="8">
        <v>2</v>
      </c>
      <c r="E13" s="9">
        <v>4414.25</v>
      </c>
      <c r="F13" s="8">
        <v>171</v>
      </c>
      <c r="G13" s="10"/>
      <c r="H13" s="9" t="str">
        <f>IF(G13="","",E13*G13)</f>
        <v/>
      </c>
      <c r="I13" s="11" t="str">
        <f>HYPERLINK("https://optomposuda.ru/product/kastryulya-21-0lt-royal-nerzhaveyuschaya-stal-kapsulnoe-dno-36x24-so-stalnoy-kryshkoy","открыть")</f>
        <v>открыть</v>
      </c>
    </row>
    <row r="14" spans="1:9" x14ac:dyDescent="0.25">
      <c r="A14" t="s">
        <v>3586</v>
      </c>
      <c r="B14" t="s">
        <v>3587</v>
      </c>
      <c r="C14" t="s">
        <v>3575</v>
      </c>
      <c r="D14" s="8">
        <v>10</v>
      </c>
      <c r="E14" s="9">
        <v>915.96</v>
      </c>
      <c r="F14" s="8">
        <v>37</v>
      </c>
      <c r="G14" s="10"/>
      <c r="H14" s="9" t="str">
        <f>IF(G14="","",E14*G14)</f>
        <v/>
      </c>
      <c r="I14" s="11" t="str">
        <f>HYPERLINK("https://optomposuda.ru/product/kastryulya-3-5-lt-royal-nerzhaveyuschaya-stal-kapsulnoe-dno-22x12-so-stalnoy-kryshkoy","открыть")</f>
        <v>открыть</v>
      </c>
    </row>
    <row r="15" spans="1:9" x14ac:dyDescent="0.25">
      <c r="A15" t="s">
        <v>3588</v>
      </c>
      <c r="B15" t="s">
        <v>3589</v>
      </c>
      <c r="C15" t="s">
        <v>3575</v>
      </c>
      <c r="D15" s="8">
        <v>1</v>
      </c>
      <c r="E15" s="9">
        <v>6644.6</v>
      </c>
      <c r="F15" s="8">
        <v>191</v>
      </c>
      <c r="G15" s="10"/>
      <c r="H15" s="9" t="str">
        <f>IF(G15="","",E15*G15)</f>
        <v/>
      </c>
      <c r="I15" s="11" t="str">
        <f>HYPERLINK("https://optomposuda.ru/product/kastryulya-44-0lt-royal-nerzhaveyuschaya-stal-kapsulnoe-dno-45x29-so-stalnoy-kryshkoy","открыть")</f>
        <v>открыть</v>
      </c>
    </row>
    <row r="16" spans="1:9" x14ac:dyDescent="0.25">
      <c r="A16" t="s">
        <v>3590</v>
      </c>
      <c r="B16" t="s">
        <v>3591</v>
      </c>
      <c r="C16" t="s">
        <v>3575</v>
      </c>
      <c r="D16" s="8">
        <v>8</v>
      </c>
      <c r="E16" s="9">
        <v>2030.28</v>
      </c>
      <c r="F16" s="8">
        <v>254</v>
      </c>
      <c r="G16" s="10"/>
      <c r="H16" s="9" t="str">
        <f>IF(G16="","",E16*G16)</f>
        <v/>
      </c>
      <c r="I16" s="11" t="str">
        <f>HYPERLINK("https://optomposuda.ru/product/kastryulya-5-1-lt-royal-nerzhaveyuschaya-stal-kapsulnoe-dno-24x14-so-stalnoy-kryshkoy","открыть")</f>
        <v>открыть</v>
      </c>
    </row>
    <row r="17" spans="1:9" x14ac:dyDescent="0.25">
      <c r="A17" t="s">
        <v>3592</v>
      </c>
      <c r="B17" t="s">
        <v>3593</v>
      </c>
      <c r="C17" t="s">
        <v>3575</v>
      </c>
      <c r="D17" s="8">
        <v>1</v>
      </c>
      <c r="E17" s="9">
        <v>7017.14</v>
      </c>
      <c r="F17" s="8">
        <v>257</v>
      </c>
      <c r="G17" s="10"/>
      <c r="H17" s="9" t="str">
        <f>IF(G17="","",E17*G17)</f>
        <v/>
      </c>
      <c r="I17" s="11" t="str">
        <f>HYPERLINK("https://optomposuda.ru/product/kastryulya-54-0lt-royal-nerzhaveyuschaya-stal-kapsulnoe-dno-50x30-so-stalnoy-kryshkoy","открыть")</f>
        <v>открыть</v>
      </c>
    </row>
    <row r="18" spans="1:9" x14ac:dyDescent="0.25">
      <c r="A18" t="s">
        <v>3594</v>
      </c>
      <c r="B18" t="s">
        <v>3595</v>
      </c>
      <c r="C18" t="s">
        <v>3575</v>
      </c>
      <c r="D18" s="8">
        <v>10</v>
      </c>
      <c r="E18" s="9">
        <v>825.32</v>
      </c>
      <c r="F18" s="8">
        <v>961</v>
      </c>
      <c r="G18" s="10"/>
      <c r="H18" s="9" t="str">
        <f>IF(G18="","",E18*G18)</f>
        <v/>
      </c>
      <c r="I18" s="11" t="str">
        <f>HYPERLINK("https://optomposuda.ru/product/kovsh-nerzhaveyuschaya-stal14-sm-1-2-lt-bez-kryshki","открыть")</f>
        <v>открыть</v>
      </c>
    </row>
    <row r="19" spans="1:9" x14ac:dyDescent="0.25">
      <c r="A19" t="s">
        <v>3596</v>
      </c>
      <c r="B19" t="s">
        <v>3597</v>
      </c>
      <c r="C19" t="s">
        <v>3575</v>
      </c>
      <c r="D19" s="8">
        <v>10</v>
      </c>
      <c r="E19" s="9">
        <v>1000.69</v>
      </c>
      <c r="F19" s="8">
        <v>959</v>
      </c>
      <c r="G19" s="10"/>
      <c r="H19" s="9" t="str">
        <f>IF(G19="","",E19*G19)</f>
        <v/>
      </c>
      <c r="I19" s="11" t="str">
        <f>HYPERLINK("https://optomposuda.ru/product/kovsh-nerzhaveyuschaya-stal16-sm-1-5-lt-bez-kryshki","открыть")</f>
        <v>открыть</v>
      </c>
    </row>
    <row r="20" spans="1:9" x14ac:dyDescent="0.25">
      <c r="A20" t="s">
        <v>3598</v>
      </c>
      <c r="B20" t="s">
        <v>3599</v>
      </c>
      <c r="C20" t="s">
        <v>3575</v>
      </c>
      <c r="D20" s="8">
        <v>10</v>
      </c>
      <c r="E20" s="9">
        <v>1103.86</v>
      </c>
      <c r="F20" s="8">
        <v>971</v>
      </c>
      <c r="G20" s="10"/>
      <c r="H20" s="9" t="str">
        <f>IF(G20="","",E20*G20)</f>
        <v/>
      </c>
      <c r="I20" s="11" t="str">
        <f>HYPERLINK("https://optomposuda.ru/product/kovsh-nerzhaveyuschaya-stal18-sm-2-2-lt-bez-kryshki","открыть")</f>
        <v>открыть</v>
      </c>
    </row>
  </sheetData>
  <autoFilter ref="A7:I7"/>
  <mergeCells count="5">
    <mergeCell ref="A1:I1"/>
    <mergeCell ref="A2:I2"/>
    <mergeCell ref="A3:I3"/>
    <mergeCell ref="A4:I4"/>
    <mergeCell ref="A8:I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3600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SUM(H8:H34)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3601</v>
      </c>
      <c r="B9" t="s">
        <v>3602</v>
      </c>
      <c r="C9" t="s">
        <v>3600</v>
      </c>
      <c r="D9" s="8">
        <v>6</v>
      </c>
      <c r="E9" s="9">
        <v>535.93</v>
      </c>
      <c r="F9" s="8">
        <v>201</v>
      </c>
      <c r="G9" s="10"/>
      <c r="H9" s="9" t="str">
        <f>IF(G9="","",E9*G9)</f>
        <v/>
      </c>
      <c r="I9" s="11" t="str">
        <f>HYPERLINK("https://optomposuda.ru/product/borcam-mernaya-kruzhka-1000-ml","открыть")</f>
        <v>открыть</v>
      </c>
    </row>
    <row r="10" spans="1:9" x14ac:dyDescent="0.25">
      <c r="A10" t="s">
        <v>3603</v>
      </c>
      <c r="B10" t="s">
        <v>3604</v>
      </c>
      <c r="C10" t="s">
        <v>3600</v>
      </c>
      <c r="D10" s="8">
        <v>6</v>
      </c>
      <c r="E10" s="9">
        <v>383.03</v>
      </c>
      <c r="F10" s="8">
        <v>178</v>
      </c>
      <c r="G10" s="10"/>
      <c r="H10" s="9" t="str">
        <f>IF(G10="","",E10*G10)</f>
        <v/>
      </c>
      <c r="I10" s="11" t="str">
        <f>HYPERLINK("https://optomposuda.ru/product/borcam-mernaya-kruzhka-600-ml","открыть")</f>
        <v>открыть</v>
      </c>
    </row>
    <row r="11" spans="1:9" x14ac:dyDescent="0.25">
      <c r="A11" s="7" t="s">
        <v>145</v>
      </c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t="s">
        <v>3605</v>
      </c>
      <c r="B12" t="s">
        <v>3606</v>
      </c>
      <c r="C12" t="s">
        <v>3600</v>
      </c>
      <c r="D12" s="8">
        <v>6</v>
      </c>
      <c r="E12" s="9">
        <v>339.78</v>
      </c>
      <c r="F12" s="8">
        <v>55</v>
      </c>
      <c r="G12" s="10"/>
      <c r="H12" s="9" t="str">
        <f>IF(G12="","",E12*G12)</f>
        <v/>
      </c>
      <c r="I12" s="11" t="str">
        <f>HYPERLINK("https://optomposuda.ru/product/borcam-blyudo-krugloe-gril-1-72l-d-260mm-h45mm-podarochnaya-korobka","открыть")</f>
        <v>открыть</v>
      </c>
    </row>
    <row r="13" spans="1:9" x14ac:dyDescent="0.25">
      <c r="A13" t="s">
        <v>3607</v>
      </c>
      <c r="B13" t="s">
        <v>3608</v>
      </c>
      <c r="C13" t="s">
        <v>3600</v>
      </c>
      <c r="D13" s="8">
        <v>6</v>
      </c>
      <c r="E13" s="9">
        <v>397.88</v>
      </c>
      <c r="F13" s="8">
        <v>68</v>
      </c>
      <c r="G13" s="10"/>
      <c r="H13" s="9" t="str">
        <f>IF(G13="","",E13*G13)</f>
        <v/>
      </c>
      <c r="I13" s="11" t="str">
        <f>HYPERLINK("https://optomposuda.ru/product/borcam-gril-kruglyy-2-95l-d-320mm-h50mm-podarochnaya-korobka","открыть")</f>
        <v>открыть</v>
      </c>
    </row>
    <row r="14" spans="1:9" x14ac:dyDescent="0.25">
      <c r="A14" t="s">
        <v>3609</v>
      </c>
      <c r="B14" t="s">
        <v>3610</v>
      </c>
      <c r="C14" t="s">
        <v>3600</v>
      </c>
      <c r="D14" s="8">
        <v>4</v>
      </c>
      <c r="E14" s="9">
        <v>263</v>
      </c>
      <c r="F14" s="8">
        <v>78</v>
      </c>
      <c r="G14" s="10"/>
      <c r="H14" s="9" t="str">
        <f>IF(G14="","",E14*G14)</f>
        <v/>
      </c>
      <c r="I14" s="11" t="str">
        <f>HYPERLINK("https://optomposuda.ru/product/borcam-kastryulya-kruglaya-0-84l-d-150mm-190mm-h-60mm-s-plastikovoy-kryshkoy","открыть")</f>
        <v>открыть</v>
      </c>
    </row>
    <row r="15" spans="1:9" x14ac:dyDescent="0.25">
      <c r="A15" t="s">
        <v>3611</v>
      </c>
      <c r="B15" t="s">
        <v>3612</v>
      </c>
      <c r="C15" t="s">
        <v>3600</v>
      </c>
      <c r="D15" s="8">
        <v>4</v>
      </c>
      <c r="E15" s="9">
        <v>413.39</v>
      </c>
      <c r="F15" s="8">
        <v>100</v>
      </c>
      <c r="G15" s="10"/>
      <c r="H15" s="9" t="str">
        <f>IF(G15="","",E15*G15)</f>
        <v/>
      </c>
      <c r="I15" s="11" t="str">
        <f>HYPERLINK("https://optomposuda.ru/product/borcam-kastryulya-kruglaya-1-45l-218-187-76mm-s-plastikovoy-kryshkoy-podarochnaya-upakovka","открыть")</f>
        <v>открыть</v>
      </c>
    </row>
    <row r="16" spans="1:9" x14ac:dyDescent="0.25">
      <c r="A16" t="s">
        <v>3613</v>
      </c>
      <c r="B16" t="s">
        <v>3614</v>
      </c>
      <c r="C16" t="s">
        <v>3600</v>
      </c>
      <c r="D16" s="8">
        <v>4</v>
      </c>
      <c r="E16" s="9">
        <v>507.45</v>
      </c>
      <c r="F16" s="8">
        <v>176</v>
      </c>
      <c r="G16" s="10"/>
      <c r="H16" s="9" t="str">
        <f>IF(G16="","",E16*G16)</f>
        <v/>
      </c>
      <c r="I16" s="11" t="str">
        <f>HYPERLINK("https://optomposuda.ru/product/borcam-kastryulya-kruglaya-2-1l-251-22-80mm-s-plastikovoy-kryshkoy-podarochnaya-korobka","открыть")</f>
        <v>открыть</v>
      </c>
    </row>
    <row r="17" spans="1:9" x14ac:dyDescent="0.25">
      <c r="A17" t="s">
        <v>3615</v>
      </c>
      <c r="B17" t="s">
        <v>3616</v>
      </c>
      <c r="C17" t="s">
        <v>3600</v>
      </c>
      <c r="D17" s="8">
        <v>6</v>
      </c>
      <c r="E17" s="9">
        <v>388.78</v>
      </c>
      <c r="F17" s="8">
        <v>244</v>
      </c>
      <c r="G17" s="10"/>
      <c r="H17" s="9" t="str">
        <f>IF(G17="","",E17*G17)</f>
        <v/>
      </c>
      <c r="I17" s="11" t="str">
        <f>HYPERLINK("https://optomposuda.ru/product/borcam-kastryulya-kruglaya-s-kryshkoy-0-84l-0-43l-d-150mm-190mm-h-60mm-podarochnaya-korobk","открыть")</f>
        <v>открыть</v>
      </c>
    </row>
    <row r="18" spans="1:9" x14ac:dyDescent="0.25">
      <c r="A18" t="s">
        <v>3617</v>
      </c>
      <c r="B18" t="s">
        <v>3618</v>
      </c>
      <c r="C18" t="s">
        <v>3600</v>
      </c>
      <c r="D18" s="8">
        <v>4</v>
      </c>
      <c r="E18" s="9">
        <v>430.92</v>
      </c>
      <c r="F18" s="8">
        <v>117</v>
      </c>
      <c r="G18" s="10"/>
      <c r="H18" s="9" t="str">
        <f>IF(G18="","",E18*G18)</f>
        <v/>
      </c>
      <c r="I18" s="11" t="str">
        <f>HYPERLINK("https://optomposuda.ru/product/borcam-kastryulya-kruglaya-s-kryshkoy-1-5l-podarochnaya-korobka","открыть")</f>
        <v>открыть</v>
      </c>
    </row>
    <row r="19" spans="1:9" x14ac:dyDescent="0.25">
      <c r="A19" t="s">
        <v>3619</v>
      </c>
      <c r="B19" t="s">
        <v>3620</v>
      </c>
      <c r="C19" t="s">
        <v>3600</v>
      </c>
      <c r="D19" s="8">
        <v>4</v>
      </c>
      <c r="E19" s="9">
        <v>719.03</v>
      </c>
      <c r="F19" s="8">
        <v>203</v>
      </c>
      <c r="G19" s="10"/>
      <c r="H19" s="9" t="str">
        <f>IF(G19="","",E19*G19)</f>
        <v/>
      </c>
      <c r="I19" s="11" t="str">
        <f>HYPERLINK("https://optomposuda.ru/product/borcam-kastryulya-kruglaya-s-st-kryshkoy-3-0l-270-mm-x-239-mm-podarochnaya-korobka","открыть")</f>
        <v>открыть</v>
      </c>
    </row>
    <row r="20" spans="1:9" x14ac:dyDescent="0.25">
      <c r="A20" t="s">
        <v>3621</v>
      </c>
      <c r="B20" t="s">
        <v>3622</v>
      </c>
      <c r="C20" t="s">
        <v>3600</v>
      </c>
      <c r="D20" s="8">
        <v>4</v>
      </c>
      <c r="E20" s="9">
        <v>521.12</v>
      </c>
      <c r="F20" s="8">
        <v>217</v>
      </c>
      <c r="G20" s="10"/>
      <c r="H20" s="9" t="str">
        <f>IF(G20="","",E20*G20)</f>
        <v/>
      </c>
      <c r="I20" s="11" t="str">
        <f>HYPERLINK("https://optomposuda.ru/product/borcam-kastryulya-kruglaya-s-st-kryshkoy-2-1l-251-220mm-podarochnaya-korobka","открыть")</f>
        <v>открыть</v>
      </c>
    </row>
    <row r="21" spans="1:9" x14ac:dyDescent="0.25">
      <c r="A21" t="s">
        <v>3623</v>
      </c>
      <c r="B21" t="s">
        <v>3624</v>
      </c>
      <c r="C21" t="s">
        <v>3600</v>
      </c>
      <c r="D21" s="8">
        <v>4</v>
      </c>
      <c r="E21" s="9">
        <v>686.47</v>
      </c>
      <c r="F21" s="8">
        <v>9</v>
      </c>
      <c r="G21" s="10"/>
      <c r="H21" s="9" t="str">
        <f>IF(G21="","",E21*G21)</f>
        <v/>
      </c>
      <c r="I21" s="11" t="str">
        <f>HYPERLINK("https://optomposuda.ru/product/borcam-kastryulya-ovalnaya-s-kryshkoy-2850ss-1800ss-podarochnaya-korobka","открыть")</f>
        <v>открыть</v>
      </c>
    </row>
    <row r="22" spans="1:9" x14ac:dyDescent="0.25">
      <c r="A22" t="s">
        <v>3625</v>
      </c>
      <c r="B22" t="s">
        <v>3626</v>
      </c>
      <c r="C22" t="s">
        <v>3600</v>
      </c>
      <c r="D22" s="8">
        <v>12</v>
      </c>
      <c r="E22" s="9">
        <v>324.45</v>
      </c>
      <c r="F22" s="8">
        <v>117</v>
      </c>
      <c r="G22" s="10"/>
      <c r="H22" s="9" t="str">
        <f>IF(G22="","",E22*G22)</f>
        <v/>
      </c>
      <c r="I22" s="11" t="str">
        <f>HYPERLINK("https://optomposuda.ru/product/borcam-lotok-kruglyy-1-72l-45h260mm-h45-mm-v-rubashke","открыть")</f>
        <v>открыть</v>
      </c>
    </row>
    <row r="23" spans="1:9" x14ac:dyDescent="0.25">
      <c r="A23" t="s">
        <v>3627</v>
      </c>
      <c r="B23" t="s">
        <v>3628</v>
      </c>
      <c r="C23" t="s">
        <v>3600</v>
      </c>
      <c r="D23" s="8">
        <v>6</v>
      </c>
      <c r="E23" s="9">
        <v>424.55</v>
      </c>
      <c r="F23" s="8">
        <v>70</v>
      </c>
      <c r="G23" s="10"/>
      <c r="H23" s="9" t="str">
        <f>IF(G23="","",E23*G23)</f>
        <v/>
      </c>
      <c r="I23" s="11" t="str">
        <f>HYPERLINK("https://optomposuda.ru/product/borcam-lotok-kruglyy-2-95l-d-318-h45mm-podarochnaya-korobka","открыть")</f>
        <v>открыть</v>
      </c>
    </row>
    <row r="24" spans="1:9" x14ac:dyDescent="0.25">
      <c r="A24" t="s">
        <v>3629</v>
      </c>
      <c r="B24" t="s">
        <v>3630</v>
      </c>
      <c r="C24" t="s">
        <v>3600</v>
      </c>
      <c r="D24" s="8">
        <v>4</v>
      </c>
      <c r="E24" s="9">
        <v>379.57</v>
      </c>
      <c r="F24" s="8">
        <v>699</v>
      </c>
      <c r="G24" s="10"/>
      <c r="H24" s="9" t="str">
        <f>IF(G24="","",E24*G24)</f>
        <v/>
      </c>
      <c r="I24" s="11" t="str">
        <f>HYPERLINK("https://optomposuda.ru/product/borcam-lotok-pryamougolnyy-1-95l-336h190mmh50mm-vkladysh","открыть")</f>
        <v>открыть</v>
      </c>
    </row>
    <row r="25" spans="1:9" x14ac:dyDescent="0.25">
      <c r="A25" t="s">
        <v>3631</v>
      </c>
      <c r="B25" t="s">
        <v>3632</v>
      </c>
      <c r="C25" t="s">
        <v>3600</v>
      </c>
      <c r="D25" s="8">
        <v>4</v>
      </c>
      <c r="E25" s="9">
        <v>501.14</v>
      </c>
      <c r="F25" s="8">
        <v>7</v>
      </c>
      <c r="G25" s="10"/>
      <c r="H25" s="9" t="str">
        <f>IF(G25="","",E25*G25)</f>
        <v/>
      </c>
      <c r="I25" s="11" t="str">
        <f>HYPERLINK("https://optomposuda.ru/product/borcam-lotok-pryamougolnyy-1-95l-336h190h50mm-s-plastikovoy-kryshkoy-podarochnaya-korobka","открыть")</f>
        <v>открыть</v>
      </c>
    </row>
    <row r="26" spans="1:9" x14ac:dyDescent="0.25">
      <c r="A26" t="s">
        <v>3633</v>
      </c>
      <c r="B26" t="s">
        <v>3634</v>
      </c>
      <c r="C26" t="s">
        <v>3600</v>
      </c>
      <c r="D26" s="8">
        <v>4</v>
      </c>
      <c r="E26" s="9">
        <v>746.56</v>
      </c>
      <c r="F26" s="8">
        <v>28</v>
      </c>
      <c r="G26" s="10"/>
      <c r="H26" s="9" t="str">
        <f>IF(G26="","",E26*G26)</f>
        <v/>
      </c>
      <c r="I26" s="11" t="str">
        <f>HYPERLINK("https://optomposuda.ru/product/borcam-nabor-form-dlya-zapekaniya-1-5-3-l","открыть")</f>
        <v>открыть</v>
      </c>
    </row>
    <row r="27" spans="1:9" x14ac:dyDescent="0.25">
      <c r="A27" t="s">
        <v>3635</v>
      </c>
      <c r="B27" t="s">
        <v>3636</v>
      </c>
      <c r="C27" t="s">
        <v>3600</v>
      </c>
      <c r="D27" s="8">
        <v>4</v>
      </c>
      <c r="E27" s="9">
        <v>740.25</v>
      </c>
      <c r="F27" s="8">
        <v>7</v>
      </c>
      <c r="G27" s="10"/>
      <c r="H27" s="9" t="str">
        <f>IF(G27="","",E27*G27)</f>
        <v/>
      </c>
      <c r="I27" s="11" t="str">
        <f>HYPERLINK("https://optomposuda.ru/product/borcam-nabor-formy-dlya-zapekaniya-2-pr-3l-1-6l","открыть")</f>
        <v>открыть</v>
      </c>
    </row>
    <row r="28" spans="1:9" x14ac:dyDescent="0.25">
      <c r="A28" t="s">
        <v>3637</v>
      </c>
      <c r="B28" t="s">
        <v>3638</v>
      </c>
      <c r="C28" t="s">
        <v>3600</v>
      </c>
      <c r="D28" s="8">
        <v>6</v>
      </c>
      <c r="E28" s="9">
        <v>504.83</v>
      </c>
      <c r="F28" s="8">
        <v>5</v>
      </c>
      <c r="G28" s="10"/>
      <c r="H28" s="9" t="str">
        <f>IF(G28="","",E28*G28)</f>
        <v/>
      </c>
      <c r="I28" s="11" t="str">
        <f>HYPERLINK("https://optomposuda.ru/product/borcam-forma-dlya-zapekaniya-3-2l-280-280-60-mm-podarochnaya-upakovka","открыть")</f>
        <v>открыть</v>
      </c>
    </row>
    <row r="29" spans="1:9" x14ac:dyDescent="0.25">
      <c r="A29" t="s">
        <v>3639</v>
      </c>
      <c r="B29" t="s">
        <v>3640</v>
      </c>
      <c r="C29" t="s">
        <v>3600</v>
      </c>
      <c r="D29" s="8">
        <v>6</v>
      </c>
      <c r="E29" s="9">
        <v>501.14</v>
      </c>
      <c r="F29" s="8">
        <v>99</v>
      </c>
      <c r="G29" s="10"/>
      <c r="H29" s="9" t="str">
        <f>IF(G29="","",E29*G29)</f>
        <v/>
      </c>
      <c r="I29" s="11" t="str">
        <f>HYPERLINK("https://optomposuda.ru/product/borcam-forma-kvadratnaya-1-95l-s-plastik-kryshk-220h220h60mm-podarochnaya-kor-256h220-vn-r","открыть")</f>
        <v>открыть</v>
      </c>
    </row>
    <row r="30" spans="1:9" x14ac:dyDescent="0.25">
      <c r="A30" t="s">
        <v>3641</v>
      </c>
      <c r="B30" t="s">
        <v>3642</v>
      </c>
      <c r="C30" t="s">
        <v>3600</v>
      </c>
      <c r="D30" s="8">
        <v>6</v>
      </c>
      <c r="E30" s="9">
        <v>385.01</v>
      </c>
      <c r="F30" s="8">
        <v>94</v>
      </c>
      <c r="G30" s="10"/>
      <c r="H30" s="9" t="str">
        <f>IF(G30="","",E30*G30)</f>
        <v/>
      </c>
      <c r="I30" s="11" t="str">
        <f>HYPERLINK("https://optomposuda.ru/product/borcam-forma-kvadratnaya-1-95l-s-ruchk-220h220h60mm-256h220-vnesh-razmer-s-ruch-podarochna","открыть")</f>
        <v>открыть</v>
      </c>
    </row>
    <row r="31" spans="1:9" x14ac:dyDescent="0.25">
      <c r="A31" t="s">
        <v>3643</v>
      </c>
      <c r="B31" t="s">
        <v>3644</v>
      </c>
      <c r="C31" t="s">
        <v>3600</v>
      </c>
      <c r="D31" s="8">
        <v>4</v>
      </c>
      <c r="E31" s="9">
        <v>355.45</v>
      </c>
      <c r="F31" s="8">
        <v>119</v>
      </c>
      <c r="G31" s="10"/>
      <c r="H31" s="9" t="str">
        <f>IF(G31="","",E31*G31)</f>
        <v/>
      </c>
      <c r="I31" s="11" t="str">
        <f>HYPERLINK("https://optomposuda.ru/product/borcam-forma-pryamougolnaya-dlya-zapekaniya-1l-s-plastikovoy-kryshkoy-210h164mm","открыть")</f>
        <v>открыть</v>
      </c>
    </row>
    <row r="32" spans="1:9" x14ac:dyDescent="0.25">
      <c r="A32" t="s">
        <v>3645</v>
      </c>
      <c r="B32" t="s">
        <v>3646</v>
      </c>
      <c r="C32" t="s">
        <v>3600</v>
      </c>
      <c r="D32" s="8">
        <v>4</v>
      </c>
      <c r="E32" s="9">
        <v>777.59</v>
      </c>
      <c r="F32" s="8">
        <v>1</v>
      </c>
      <c r="G32" s="10"/>
      <c r="H32" s="9" t="str">
        <f>IF(G32="","",E32*G32)</f>
        <v/>
      </c>
      <c r="I32" s="11" t="str">
        <f>HYPERLINK("https://optomposuda.ru/product/borcam-forma-pryamougolnaya-s-kryshkoy-2-8l-2-75l-1-37l-339-190-70-v-rubashke","открыть")</f>
        <v>открыть</v>
      </c>
    </row>
    <row r="33" spans="1:9" x14ac:dyDescent="0.25">
      <c r="A33" s="7" t="s">
        <v>74</v>
      </c>
      <c r="B33" s="7"/>
      <c r="C33" s="7"/>
      <c r="D33" s="7"/>
      <c r="E33" s="7"/>
      <c r="F33" s="7"/>
      <c r="G33" s="7"/>
      <c r="H33" s="7"/>
      <c r="I33" s="7"/>
    </row>
    <row r="34" spans="1:9" x14ac:dyDescent="0.25">
      <c r="A34" t="s">
        <v>3647</v>
      </c>
      <c r="B34" t="s">
        <v>3648</v>
      </c>
      <c r="C34" t="s">
        <v>3600</v>
      </c>
      <c r="D34" s="8">
        <v>6</v>
      </c>
      <c r="E34" s="9">
        <v>300.64</v>
      </c>
      <c r="F34" s="8">
        <v>199</v>
      </c>
      <c r="G34" s="10"/>
      <c r="H34" s="9" t="str">
        <f>IF(G34="","",E34*G34)</f>
        <v/>
      </c>
      <c r="I34" s="11" t="str">
        <f>HYPERLINK("https://optomposuda.ru/product/borcam-salatnik-kruglyy-d-220mm-1-68l-d220mm-h85mm-podarochnaya-korobka","открыть")</f>
        <v>открыть</v>
      </c>
    </row>
  </sheetData>
  <autoFilter ref="A7:I7"/>
  <mergeCells count="7">
    <mergeCell ref="A1:I1"/>
    <mergeCell ref="A2:I2"/>
    <mergeCell ref="A3:I3"/>
    <mergeCell ref="A4:I4"/>
    <mergeCell ref="A8:I8"/>
    <mergeCell ref="A11:I11"/>
    <mergeCell ref="A33:I33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5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3649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SUM(H8:H425)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1752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3650</v>
      </c>
      <c r="B9" t="s">
        <v>3651</v>
      </c>
      <c r="C9" t="s">
        <v>3649</v>
      </c>
      <c r="D9" s="8">
        <v>12</v>
      </c>
      <c r="E9" s="9">
        <v>522.55</v>
      </c>
      <c r="F9" s="8">
        <v>727</v>
      </c>
      <c r="G9" s="10"/>
      <c r="H9" s="9" t="str">
        <f>IF(G9="","",E9*G9)</f>
        <v/>
      </c>
      <c r="I9" s="11" t="str">
        <f>HYPERLINK("https://optomposuda.ru/product/blyudo-blesk-27-sm","открыть")</f>
        <v>открыть</v>
      </c>
    </row>
    <row r="10" spans="1:9" x14ac:dyDescent="0.25">
      <c r="A10" t="s">
        <v>3652</v>
      </c>
      <c r="B10" t="s">
        <v>3653</v>
      </c>
      <c r="C10" t="s">
        <v>3649</v>
      </c>
      <c r="D10" s="8">
        <v>12</v>
      </c>
      <c r="E10" s="9">
        <v>556.37</v>
      </c>
      <c r="F10" s="8">
        <v>750</v>
      </c>
      <c r="G10" s="10"/>
      <c r="H10" s="9" t="str">
        <f>IF(G10="","",E10*G10)</f>
        <v/>
      </c>
      <c r="I10" s="11" t="str">
        <f>HYPERLINK("https://optomposuda.ru/product/blyudo-bolshoe-blesk-33-sm","открыть")</f>
        <v>открыть</v>
      </c>
    </row>
    <row r="11" spans="1:9" x14ac:dyDescent="0.25">
      <c r="A11" t="s">
        <v>3654</v>
      </c>
      <c r="B11" t="s">
        <v>3655</v>
      </c>
      <c r="C11" t="s">
        <v>3649</v>
      </c>
      <c r="D11" s="8">
        <v>6</v>
      </c>
      <c r="E11" s="9">
        <v>827.03</v>
      </c>
      <c r="F11" s="8">
        <v>474</v>
      </c>
      <c r="G11" s="10"/>
      <c r="H11" s="9" t="str">
        <f>IF(G11="","",E11*G11)</f>
        <v/>
      </c>
      <c r="I11" s="11" t="str">
        <f>HYPERLINK("https://optomposuda.ru/product/blyudo-bolshoe-vostok-33-sm","открыть")</f>
        <v>открыть</v>
      </c>
    </row>
    <row r="12" spans="1:9" x14ac:dyDescent="0.25">
      <c r="A12" t="s">
        <v>3656</v>
      </c>
      <c r="B12" t="s">
        <v>3657</v>
      </c>
      <c r="C12" t="s">
        <v>3649</v>
      </c>
      <c r="D12" s="8">
        <v>12</v>
      </c>
      <c r="E12" s="9">
        <v>710.5</v>
      </c>
      <c r="F12" s="8">
        <v>251</v>
      </c>
      <c r="G12" s="10"/>
      <c r="H12" s="9" t="str">
        <f>IF(G12="","",E12*G12)</f>
        <v/>
      </c>
      <c r="I12" s="11" t="str">
        <f>HYPERLINK("https://optomposuda.ru/product/blyudo-glubokoe-sokrovische-zolotoe-20-sm","открыть")</f>
        <v>открыть</v>
      </c>
    </row>
    <row r="13" spans="1:9" x14ac:dyDescent="0.25">
      <c r="A13" t="s">
        <v>3658</v>
      </c>
      <c r="B13" t="s">
        <v>3659</v>
      </c>
      <c r="C13" t="s">
        <v>3649</v>
      </c>
      <c r="D13" s="8">
        <v>1</v>
      </c>
      <c r="E13" s="9">
        <v>878.85</v>
      </c>
      <c r="F13" s="8">
        <v>383</v>
      </c>
      <c r="G13" s="10"/>
      <c r="H13" s="9" t="str">
        <f>IF(G13="","",E13*G13)</f>
        <v/>
      </c>
      <c r="I13" s="11" t="str">
        <f>HYPERLINK("https://optomposuda.ru/product/blyudo-glubokoe-sokrovische-zolotoe-25-sm-art-55524","открыть")</f>
        <v>открыть</v>
      </c>
    </row>
    <row r="14" spans="1:9" x14ac:dyDescent="0.25">
      <c r="A14" t="s">
        <v>3660</v>
      </c>
      <c r="B14" t="s">
        <v>3661</v>
      </c>
      <c r="C14" t="s">
        <v>3649</v>
      </c>
      <c r="D14" s="8">
        <v>1</v>
      </c>
      <c r="E14" s="9">
        <v>912.33</v>
      </c>
      <c r="F14" s="8">
        <v>443</v>
      </c>
      <c r="G14" s="10"/>
      <c r="H14" s="9" t="str">
        <f>IF(G14="","",E14*G14)</f>
        <v/>
      </c>
      <c r="I14" s="11" t="str">
        <f>HYPERLINK("https://optomposuda.ru/product/blyudo-glubokoe-sokrovische-zolotoe-31-sm-art-55523","открыть")</f>
        <v>открыть</v>
      </c>
    </row>
    <row r="15" spans="1:9" x14ac:dyDescent="0.25">
      <c r="A15" t="s">
        <v>3662</v>
      </c>
      <c r="B15" t="s">
        <v>3663</v>
      </c>
      <c r="C15" t="s">
        <v>3649</v>
      </c>
      <c r="D15" s="8">
        <v>12</v>
      </c>
      <c r="E15" s="9">
        <v>710.5</v>
      </c>
      <c r="F15" s="8">
        <v>399</v>
      </c>
      <c r="G15" s="10"/>
      <c r="H15" s="9" t="str">
        <f>IF(G15="","",E15*G15)</f>
        <v/>
      </c>
      <c r="I15" s="11" t="str">
        <f>HYPERLINK("https://optomposuda.ru/product/blyudo-glubokoe-sokrovische-chernoe-20-sm","открыть")</f>
        <v>открыть</v>
      </c>
    </row>
    <row r="16" spans="1:9" x14ac:dyDescent="0.25">
      <c r="A16" t="s">
        <v>3664</v>
      </c>
      <c r="B16" t="s">
        <v>3665</v>
      </c>
      <c r="C16" t="s">
        <v>3649</v>
      </c>
      <c r="D16" s="8">
        <v>1</v>
      </c>
      <c r="E16" s="9">
        <v>878.85</v>
      </c>
      <c r="F16" s="8">
        <v>496</v>
      </c>
      <c r="G16" s="10"/>
      <c r="H16" s="9" t="str">
        <f>IF(G16="","",E16*G16)</f>
        <v/>
      </c>
      <c r="I16" s="11" t="str">
        <f>HYPERLINK("https://optomposuda.ru/product/blyudo-glubokoe-sokrovische-chernoe-25-sm-art-55520","открыть")</f>
        <v>открыть</v>
      </c>
    </row>
    <row r="17" spans="1:9" x14ac:dyDescent="0.25">
      <c r="A17" t="s">
        <v>3666</v>
      </c>
      <c r="B17" t="s">
        <v>3667</v>
      </c>
      <c r="C17" t="s">
        <v>3649</v>
      </c>
      <c r="D17" s="8">
        <v>6</v>
      </c>
      <c r="E17" s="9">
        <v>912.33</v>
      </c>
      <c r="F17" s="8">
        <v>484</v>
      </c>
      <c r="G17" s="10"/>
      <c r="H17" s="9" t="str">
        <f>IF(G17="","",E17*G17)</f>
        <v/>
      </c>
      <c r="I17" s="11" t="str">
        <f>HYPERLINK("https://optomposuda.ru/product/blyudo-glubokoe-sokrovische-chernoe-31-sm","открыть")</f>
        <v>открыть</v>
      </c>
    </row>
    <row r="18" spans="1:9" x14ac:dyDescent="0.25">
      <c r="A18" t="s">
        <v>3668</v>
      </c>
      <c r="B18" t="s">
        <v>3669</v>
      </c>
      <c r="C18" t="s">
        <v>3649</v>
      </c>
      <c r="D18" s="8">
        <v>1</v>
      </c>
      <c r="E18" s="9">
        <v>606.83</v>
      </c>
      <c r="F18" s="8">
        <v>423</v>
      </c>
      <c r="G18" s="10"/>
      <c r="H18" s="9" t="str">
        <f>IF(G18="","",E18*G18)</f>
        <v/>
      </c>
      <c r="I18" s="11" t="str">
        <f>HYPERLINK("https://optomposuda.ru/product/blyudo-zolotoy-rassvet-30-sm-art-55513","открыть")</f>
        <v>открыть</v>
      </c>
    </row>
    <row r="19" spans="1:9" x14ac:dyDescent="0.25">
      <c r="A19" t="s">
        <v>3670</v>
      </c>
      <c r="B19" t="s">
        <v>3671</v>
      </c>
      <c r="C19" t="s">
        <v>3649</v>
      </c>
      <c r="D19" s="8">
        <v>1</v>
      </c>
      <c r="E19" s="9">
        <v>564.98</v>
      </c>
      <c r="F19" s="8">
        <v>973</v>
      </c>
      <c r="G19" s="10"/>
      <c r="H19" s="9" t="str">
        <f>IF(G19="","",E19*G19)</f>
        <v/>
      </c>
      <c r="I19" s="11" t="str">
        <f>HYPERLINK("https://optomposuda.ru/product/blyudo-kvadratnoe-zolotoy-rassvet-22h22-sm-art-55510","открыть")</f>
        <v>открыть</v>
      </c>
    </row>
    <row r="20" spans="1:9" x14ac:dyDescent="0.25">
      <c r="A20" t="s">
        <v>3672</v>
      </c>
      <c r="B20" t="s">
        <v>3673</v>
      </c>
      <c r="C20" t="s">
        <v>3649</v>
      </c>
      <c r="D20" s="8">
        <v>1</v>
      </c>
      <c r="E20" s="9">
        <v>619.38</v>
      </c>
      <c r="F20" s="8">
        <v>958</v>
      </c>
      <c r="G20" s="10"/>
      <c r="H20" s="9" t="str">
        <f>IF(G20="","",E20*G20)</f>
        <v/>
      </c>
      <c r="I20" s="11" t="str">
        <f>HYPERLINK("https://optomposuda.ru/product/blyudo-kvadratnoe-zolotoy-rassvet-28h28-sm-art-55511","открыть")</f>
        <v>открыть</v>
      </c>
    </row>
    <row r="21" spans="1:9" x14ac:dyDescent="0.25">
      <c r="A21" t="s">
        <v>3674</v>
      </c>
      <c r="B21" t="s">
        <v>3675</v>
      </c>
      <c r="C21" t="s">
        <v>3649</v>
      </c>
      <c r="D21" s="8">
        <v>1</v>
      </c>
      <c r="E21" s="9">
        <v>648.68</v>
      </c>
      <c r="F21" s="8">
        <v>945</v>
      </c>
      <c r="G21" s="10"/>
      <c r="H21" s="9" t="str">
        <f>IF(G21="","",E21*G21)</f>
        <v/>
      </c>
      <c r="I21" s="11" t="str">
        <f>HYPERLINK("https://optomposuda.ru/product/blyudo-kvadratnoe-zolotoy-rassvet-33h33-sm-art-55512","открыть")</f>
        <v>открыть</v>
      </c>
    </row>
    <row r="22" spans="1:9" x14ac:dyDescent="0.25">
      <c r="A22" t="s">
        <v>3676</v>
      </c>
      <c r="B22" t="s">
        <v>3677</v>
      </c>
      <c r="C22" t="s">
        <v>3649</v>
      </c>
      <c r="D22" s="8">
        <v>1</v>
      </c>
      <c r="E22" s="9">
        <v>837</v>
      </c>
      <c r="F22" s="8">
        <v>893</v>
      </c>
      <c r="G22" s="10"/>
      <c r="H22" s="9" t="str">
        <f>IF(G22="","",E22*G22)</f>
        <v/>
      </c>
      <c r="I22" s="11" t="str">
        <f>HYPERLINK("https://optomposuda.ru/product/blyudo-magnoliya-27-sm-art-55533","открыть")</f>
        <v>открыть</v>
      </c>
    </row>
    <row r="23" spans="1:9" x14ac:dyDescent="0.25">
      <c r="A23" t="s">
        <v>3678</v>
      </c>
      <c r="B23" t="s">
        <v>3679</v>
      </c>
      <c r="C23" t="s">
        <v>3649</v>
      </c>
      <c r="D23" s="8">
        <v>1</v>
      </c>
      <c r="E23" s="9">
        <v>1171.8</v>
      </c>
      <c r="F23" s="8">
        <v>883</v>
      </c>
      <c r="G23" s="10"/>
      <c r="H23" s="9" t="str">
        <f>IF(G23="","",E23*G23)</f>
        <v/>
      </c>
      <c r="I23" s="11" t="str">
        <f>HYPERLINK("https://optomposuda.ru/product/blyudo-magnoliya-33-sm-na-nozhke-art-55534","открыть")</f>
        <v>открыть</v>
      </c>
    </row>
    <row r="24" spans="1:9" x14ac:dyDescent="0.25">
      <c r="A24" t="s">
        <v>3680</v>
      </c>
      <c r="B24" t="s">
        <v>3681</v>
      </c>
      <c r="C24" t="s">
        <v>3649</v>
      </c>
      <c r="D24" s="8">
        <v>2</v>
      </c>
      <c r="E24" s="9">
        <v>1439.8</v>
      </c>
      <c r="F24" s="8">
        <v>259</v>
      </c>
      <c r="G24" s="10"/>
      <c r="H24" s="9" t="str">
        <f>IF(G24="","",E24*G24)</f>
        <v/>
      </c>
      <c r="I24" s="11" t="str">
        <f>HYPERLINK("https://optomposuda.ru/product/blyudo-na-nozhke-blesk-33-sm","открыть")</f>
        <v>открыть</v>
      </c>
    </row>
    <row r="25" spans="1:9" x14ac:dyDescent="0.25">
      <c r="A25" t="s">
        <v>3682</v>
      </c>
      <c r="B25" t="s">
        <v>3683</v>
      </c>
      <c r="C25" t="s">
        <v>3649</v>
      </c>
      <c r="D25" s="8">
        <v>1</v>
      </c>
      <c r="E25" s="9">
        <v>957.95</v>
      </c>
      <c r="F25" s="8">
        <v>478</v>
      </c>
      <c r="G25" s="10"/>
      <c r="H25" s="9" t="str">
        <f>IF(G25="","",E25*G25)</f>
        <v/>
      </c>
      <c r="I25" s="11" t="str">
        <f>HYPERLINK("https://optomposuda.ru/product/blyudo-na-nozhke-feeriya-18-sm-art-55503","открыть")</f>
        <v>открыть</v>
      </c>
    </row>
    <row r="26" spans="1:9" x14ac:dyDescent="0.25">
      <c r="A26" t="s">
        <v>3684</v>
      </c>
      <c r="B26" t="s">
        <v>3685</v>
      </c>
      <c r="C26" t="s">
        <v>3649</v>
      </c>
      <c r="D26" s="8">
        <v>1</v>
      </c>
      <c r="E26" s="9">
        <v>1242.53</v>
      </c>
      <c r="F26" s="8">
        <v>475</v>
      </c>
      <c r="G26" s="10"/>
      <c r="H26" s="9" t="str">
        <f>IF(G26="","",E26*G26)</f>
        <v/>
      </c>
      <c r="I26" s="11" t="str">
        <f>HYPERLINK("https://optomposuda.ru/product/blyudo-na-nozhke-feeriya-24-sm-art-55504","открыть")</f>
        <v>открыть</v>
      </c>
    </row>
    <row r="27" spans="1:9" x14ac:dyDescent="0.25">
      <c r="A27" t="s">
        <v>3686</v>
      </c>
      <c r="B27" t="s">
        <v>3687</v>
      </c>
      <c r="C27" t="s">
        <v>3649</v>
      </c>
      <c r="D27" s="8">
        <v>12</v>
      </c>
      <c r="E27" s="9">
        <v>770.64</v>
      </c>
      <c r="F27" s="8">
        <v>939</v>
      </c>
      <c r="G27" s="10"/>
      <c r="H27" s="9" t="str">
        <f>IF(G27="","",E27*G27)</f>
        <v/>
      </c>
      <c r="I27" s="11" t="str">
        <f>HYPERLINK("https://optomposuda.ru/product/blyudo-opal-25-sm","открыть")</f>
        <v>открыть</v>
      </c>
    </row>
    <row r="28" spans="1:9" x14ac:dyDescent="0.25">
      <c r="A28" t="s">
        <v>3688</v>
      </c>
      <c r="B28" t="s">
        <v>3689</v>
      </c>
      <c r="C28" t="s">
        <v>3649</v>
      </c>
      <c r="D28" s="8">
        <v>1</v>
      </c>
      <c r="E28" s="9">
        <v>606.83</v>
      </c>
      <c r="F28" s="8">
        <v>933</v>
      </c>
      <c r="G28" s="10"/>
      <c r="H28" s="9" t="str">
        <f>IF(G28="","",E28*G28)</f>
        <v/>
      </c>
      <c r="I28" s="11" t="str">
        <f>HYPERLINK("https://optomposuda.ru/product/blyudo-puansettiya-beloe-31-sm-art-55505","открыть")</f>
        <v>открыть</v>
      </c>
    </row>
    <row r="29" spans="1:9" x14ac:dyDescent="0.25">
      <c r="A29" t="s">
        <v>3690</v>
      </c>
      <c r="B29" t="s">
        <v>3691</v>
      </c>
      <c r="C29" t="s">
        <v>3649</v>
      </c>
      <c r="D29" s="8">
        <v>1</v>
      </c>
      <c r="E29" s="9">
        <v>606.83</v>
      </c>
      <c r="F29" s="8">
        <v>649</v>
      </c>
      <c r="G29" s="10"/>
      <c r="H29" s="9" t="str">
        <f>IF(G29="","",E29*G29)</f>
        <v/>
      </c>
      <c r="I29" s="11" t="str">
        <f>HYPERLINK("https://optomposuda.ru/product/blyudo-puansettiya-krasnoe-31-sm-art-55506","открыть")</f>
        <v>открыть</v>
      </c>
    </row>
    <row r="30" spans="1:9" x14ac:dyDescent="0.25">
      <c r="A30" t="s">
        <v>3692</v>
      </c>
      <c r="B30" t="s">
        <v>3693</v>
      </c>
      <c r="C30" t="s">
        <v>3649</v>
      </c>
      <c r="D30" s="8">
        <v>6</v>
      </c>
      <c r="E30" s="9">
        <v>1160.11</v>
      </c>
      <c r="F30" s="8">
        <v>467</v>
      </c>
      <c r="G30" s="10"/>
      <c r="H30" s="9" t="str">
        <f>IF(G30="","",E30*G30)</f>
        <v/>
      </c>
      <c r="I30" s="11" t="str">
        <f>HYPERLINK("https://optomposuda.ru/product/blyudo-servirovochnoe-ovalnoe-25-sm-elegant-gold","открыть")</f>
        <v>открыть</v>
      </c>
    </row>
    <row r="31" spans="1:9" x14ac:dyDescent="0.25">
      <c r="A31" t="s">
        <v>3694</v>
      </c>
      <c r="B31" t="s">
        <v>3695</v>
      </c>
      <c r="C31" t="s">
        <v>3649</v>
      </c>
      <c r="D31" s="8">
        <v>6</v>
      </c>
      <c r="E31" s="9">
        <v>1412.31</v>
      </c>
      <c r="F31" s="8">
        <v>476</v>
      </c>
      <c r="G31" s="10"/>
      <c r="H31" s="9" t="str">
        <f>IF(G31="","",E31*G31)</f>
        <v/>
      </c>
      <c r="I31" s="11" t="str">
        <f>HYPERLINK("https://optomposuda.ru/product/blyudo-servirovochnoe-ovalnoe-30-sm-elegant-gold","открыть")</f>
        <v>открыть</v>
      </c>
    </row>
    <row r="32" spans="1:9" x14ac:dyDescent="0.25">
      <c r="A32" t="s">
        <v>3696</v>
      </c>
      <c r="B32" t="s">
        <v>3697</v>
      </c>
      <c r="C32" t="s">
        <v>3649</v>
      </c>
      <c r="D32" s="8">
        <v>6</v>
      </c>
      <c r="E32" s="9">
        <v>925.57</v>
      </c>
      <c r="F32" s="8">
        <v>699</v>
      </c>
      <c r="G32" s="10"/>
      <c r="H32" s="9" t="str">
        <f>IF(G32="","",E32*G32)</f>
        <v/>
      </c>
      <c r="I32" s="11" t="str">
        <f>HYPERLINK("https://optomposuda.ru/product/blyudo-servirovochnoe-ovalnoe-30-sm-folklore","открыть")</f>
        <v>открыть</v>
      </c>
    </row>
    <row r="33" spans="1:9" x14ac:dyDescent="0.25">
      <c r="A33" t="s">
        <v>3698</v>
      </c>
      <c r="B33" t="s">
        <v>3699</v>
      </c>
      <c r="C33" t="s">
        <v>3649</v>
      </c>
      <c r="D33" s="8">
        <v>1</v>
      </c>
      <c r="E33" s="9">
        <v>878.85</v>
      </c>
      <c r="F33" s="8">
        <v>984</v>
      </c>
      <c r="G33" s="10"/>
      <c r="H33" s="9" t="str">
        <f>IF(G33="","",E33*G33)</f>
        <v/>
      </c>
      <c r="I33" s="11" t="str">
        <f>HYPERLINK("https://optomposuda.ru/product/blyudo-serebryanyy-cvetok-29-sm-art-55507","открыть")</f>
        <v>открыть</v>
      </c>
    </row>
    <row r="34" spans="1:9" x14ac:dyDescent="0.25">
      <c r="A34" t="s">
        <v>3700</v>
      </c>
      <c r="B34" t="s">
        <v>3701</v>
      </c>
      <c r="C34" t="s">
        <v>3649</v>
      </c>
      <c r="D34" s="8">
        <v>24</v>
      </c>
      <c r="E34" s="9">
        <v>484.95</v>
      </c>
      <c r="F34" s="8">
        <v>282</v>
      </c>
      <c r="G34" s="10"/>
      <c r="H34" s="9" t="str">
        <f>IF(G34="","",E34*G34)</f>
        <v/>
      </c>
      <c r="I34" s="11" t="str">
        <f>HYPERLINK("https://optomposuda.ru/product/blyudo-sokrovische-zolotoe-20-sm","открыть")</f>
        <v>открыть</v>
      </c>
    </row>
    <row r="35" spans="1:9" x14ac:dyDescent="0.25">
      <c r="A35" t="s">
        <v>3702</v>
      </c>
      <c r="B35" t="s">
        <v>3703</v>
      </c>
      <c r="C35" t="s">
        <v>3649</v>
      </c>
      <c r="D35" s="8">
        <v>1</v>
      </c>
      <c r="E35" s="9">
        <v>581.72</v>
      </c>
      <c r="F35" s="8">
        <v>290</v>
      </c>
      <c r="G35" s="10"/>
      <c r="H35" s="9" t="str">
        <f>IF(G35="","",E35*G35)</f>
        <v/>
      </c>
      <c r="I35" s="11" t="str">
        <f>HYPERLINK("https://optomposuda.ru/product/blyudo-sokrovische-zolotoe-27-sm-art-55518","открыть")</f>
        <v>открыть</v>
      </c>
    </row>
    <row r="36" spans="1:9" x14ac:dyDescent="0.25">
      <c r="A36" t="s">
        <v>3704</v>
      </c>
      <c r="B36" t="s">
        <v>3705</v>
      </c>
      <c r="C36" t="s">
        <v>3649</v>
      </c>
      <c r="D36" s="8">
        <v>24</v>
      </c>
      <c r="E36" s="9">
        <v>484.95</v>
      </c>
      <c r="F36" s="8">
        <v>125</v>
      </c>
      <c r="G36" s="10"/>
      <c r="H36" s="9" t="str">
        <f>IF(G36="","",E36*G36)</f>
        <v/>
      </c>
      <c r="I36" s="11" t="str">
        <f>HYPERLINK("https://optomposuda.ru/product/blyudo-sokrovische-chernoe-20-sm","открыть")</f>
        <v>открыть</v>
      </c>
    </row>
    <row r="37" spans="1:9" x14ac:dyDescent="0.25">
      <c r="A37" t="s">
        <v>3706</v>
      </c>
      <c r="B37" t="s">
        <v>3707</v>
      </c>
      <c r="C37" t="s">
        <v>3649</v>
      </c>
      <c r="D37" s="8">
        <v>24</v>
      </c>
      <c r="E37" s="9">
        <v>581.72</v>
      </c>
      <c r="F37" s="8">
        <v>218</v>
      </c>
      <c r="G37" s="10"/>
      <c r="H37" s="9" t="str">
        <f>IF(G37="","",E37*G37)</f>
        <v/>
      </c>
      <c r="I37" s="11" t="str">
        <f>HYPERLINK("https://optomposuda.ru/product/blyudo-sokrovische-chernoe-27-sm","открыть")</f>
        <v>открыть</v>
      </c>
    </row>
    <row r="38" spans="1:9" x14ac:dyDescent="0.25">
      <c r="A38" t="s">
        <v>3708</v>
      </c>
      <c r="B38" t="s">
        <v>3709</v>
      </c>
      <c r="C38" t="s">
        <v>3649</v>
      </c>
      <c r="D38" s="8">
        <v>12</v>
      </c>
      <c r="E38" s="9">
        <v>620.28</v>
      </c>
      <c r="F38" s="8">
        <v>965</v>
      </c>
      <c r="G38" s="10"/>
      <c r="H38" s="9" t="str">
        <f>IF(G38="","",E38*G38)</f>
        <v/>
      </c>
      <c r="I38" s="11" t="str">
        <f>HYPERLINK("https://optomposuda.ru/product/vaza-opal-16-sm","открыть")</f>
        <v>открыть</v>
      </c>
    </row>
    <row r="39" spans="1:9" x14ac:dyDescent="0.25">
      <c r="A39" t="s">
        <v>3710</v>
      </c>
      <c r="B39" t="s">
        <v>3711</v>
      </c>
      <c r="C39" t="s">
        <v>3649</v>
      </c>
      <c r="D39" s="8">
        <v>1</v>
      </c>
      <c r="E39" s="9">
        <v>962.55</v>
      </c>
      <c r="F39" s="8">
        <v>453</v>
      </c>
      <c r="G39" s="10"/>
      <c r="H39" s="9" t="str">
        <f>IF(G39="","",E39*G39)</f>
        <v/>
      </c>
      <c r="I39" s="11" t="str">
        <f>HYPERLINK("https://optomposuda.ru/product/konfetnica-zelenyy-list-20h27-sm-art-55539","открыть")</f>
        <v>открыть</v>
      </c>
    </row>
    <row r="40" spans="1:9" x14ac:dyDescent="0.25">
      <c r="A40" t="s">
        <v>3712</v>
      </c>
      <c r="B40" t="s">
        <v>3713</v>
      </c>
      <c r="C40" t="s">
        <v>3649</v>
      </c>
      <c r="D40" s="8">
        <v>1</v>
      </c>
      <c r="E40" s="9">
        <v>1205.28</v>
      </c>
      <c r="F40" s="8">
        <v>113</v>
      </c>
      <c r="G40" s="10"/>
      <c r="H40" s="9" t="str">
        <f>IF(G40="","",E40*G40)</f>
        <v/>
      </c>
      <c r="I40" s="11" t="str">
        <f>HYPERLINK("https://optomposuda.ru/product/nabor-blyud-iz-2-h-predmetov-cvetenie-24-sm-30-sm-art-55535","открыть")</f>
        <v>открыть</v>
      </c>
    </row>
    <row r="41" spans="1:9" x14ac:dyDescent="0.25">
      <c r="A41" t="s">
        <v>3714</v>
      </c>
      <c r="B41" t="s">
        <v>3715</v>
      </c>
      <c r="C41" t="s">
        <v>3649</v>
      </c>
      <c r="D41" s="8">
        <v>6</v>
      </c>
      <c r="E41" s="9">
        <v>315.25</v>
      </c>
      <c r="F41" s="8">
        <v>797</v>
      </c>
      <c r="G41" s="10"/>
      <c r="H41" s="9" t="str">
        <f>IF(G41="","",E41*G41)</f>
        <v/>
      </c>
      <c r="I41" s="11" t="str">
        <f>HYPERLINK("https://optomposuda.ru/product/piala-14-sm-folklore","открыть")</f>
        <v>открыть</v>
      </c>
    </row>
    <row r="42" spans="1:9" x14ac:dyDescent="0.25">
      <c r="A42" t="s">
        <v>3716</v>
      </c>
      <c r="B42" t="s">
        <v>3717</v>
      </c>
      <c r="C42" t="s">
        <v>3649</v>
      </c>
      <c r="D42" s="8">
        <v>6</v>
      </c>
      <c r="E42" s="9">
        <v>315.25</v>
      </c>
      <c r="F42" s="8">
        <v>1657</v>
      </c>
      <c r="G42" s="10"/>
      <c r="H42" s="9" t="str">
        <f>IF(G42="","",E42*G42)</f>
        <v/>
      </c>
      <c r="I42" s="11" t="str">
        <f>HYPERLINK("https://optomposuda.ru/product/piala-14-sm-woodland-harmony","открыть")</f>
        <v>открыть</v>
      </c>
    </row>
    <row r="43" spans="1:9" x14ac:dyDescent="0.25">
      <c r="A43" t="s">
        <v>3718</v>
      </c>
      <c r="B43" t="s">
        <v>3719</v>
      </c>
      <c r="C43" t="s">
        <v>3649</v>
      </c>
      <c r="D43" s="8">
        <v>6</v>
      </c>
      <c r="E43" s="9">
        <v>668.33</v>
      </c>
      <c r="F43" s="8">
        <v>982</v>
      </c>
      <c r="G43" s="10"/>
      <c r="H43" s="9" t="str">
        <f>IF(G43="","",E43*G43)</f>
        <v/>
      </c>
      <c r="I43" s="11" t="str">
        <f>HYPERLINK("https://optomposuda.ru/product/salatnik-15-sm-elegant-gold","открыть")</f>
        <v>открыть</v>
      </c>
    </row>
    <row r="44" spans="1:9" x14ac:dyDescent="0.25">
      <c r="A44" t="s">
        <v>3720</v>
      </c>
      <c r="B44" t="s">
        <v>3721</v>
      </c>
      <c r="C44" t="s">
        <v>3649</v>
      </c>
      <c r="D44" s="8">
        <v>6</v>
      </c>
      <c r="E44" s="9">
        <v>365.69</v>
      </c>
      <c r="F44" s="8">
        <v>967</v>
      </c>
      <c r="G44" s="10"/>
      <c r="H44" s="9" t="str">
        <f>IF(G44="","",E44*G44)</f>
        <v/>
      </c>
      <c r="I44" s="11" t="str">
        <f>HYPERLINK("https://optomposuda.ru/product/salatnik-16-sm-folklore","открыть")</f>
        <v>открыть</v>
      </c>
    </row>
    <row r="45" spans="1:9" x14ac:dyDescent="0.25">
      <c r="A45" t="s">
        <v>3722</v>
      </c>
      <c r="B45" t="s">
        <v>3723</v>
      </c>
      <c r="C45" t="s">
        <v>3649</v>
      </c>
      <c r="D45" s="8">
        <v>6</v>
      </c>
      <c r="E45" s="9">
        <v>353.08</v>
      </c>
      <c r="F45" s="8">
        <v>1616</v>
      </c>
      <c r="G45" s="10"/>
      <c r="H45" s="9" t="str">
        <f>IF(G45="","",E45*G45)</f>
        <v/>
      </c>
      <c r="I45" s="11" t="str">
        <f>HYPERLINK("https://optomposuda.ru/product/salatnik-16-sm-woodland-harmony","открыть")</f>
        <v>открыть</v>
      </c>
    </row>
    <row r="46" spans="1:9" x14ac:dyDescent="0.25">
      <c r="A46" t="s">
        <v>3724</v>
      </c>
      <c r="B46" t="s">
        <v>3725</v>
      </c>
      <c r="C46" t="s">
        <v>3649</v>
      </c>
      <c r="D46" s="8">
        <v>6</v>
      </c>
      <c r="E46" s="9">
        <v>592.67</v>
      </c>
      <c r="F46" s="8">
        <v>797</v>
      </c>
      <c r="G46" s="10"/>
      <c r="H46" s="9" t="str">
        <f>IF(G46="","",E46*G46)</f>
        <v/>
      </c>
      <c r="I46" s="11" t="str">
        <f>HYPERLINK("https://optomposuda.ru/product/salatnik-19-sm-folklore","открыть")</f>
        <v>открыть</v>
      </c>
    </row>
    <row r="47" spans="1:9" x14ac:dyDescent="0.25">
      <c r="A47" t="s">
        <v>3726</v>
      </c>
      <c r="B47" t="s">
        <v>3727</v>
      </c>
      <c r="C47" t="s">
        <v>3649</v>
      </c>
      <c r="D47" s="8">
        <v>1</v>
      </c>
      <c r="E47" s="9">
        <v>1058.81</v>
      </c>
      <c r="F47" s="8">
        <v>1008</v>
      </c>
      <c r="G47" s="10"/>
      <c r="H47" s="9" t="str">
        <f>IF(G47="","",E47*G47)</f>
        <v/>
      </c>
      <c r="I47" s="11" t="str">
        <f>HYPERLINK("https://optomposuda.ru/product/salatnik-magnoliya-21-sm-art-55532","открыть")</f>
        <v>открыть</v>
      </c>
    </row>
    <row r="48" spans="1:9" x14ac:dyDescent="0.25">
      <c r="A48" t="s">
        <v>3728</v>
      </c>
      <c r="B48" t="s">
        <v>3729</v>
      </c>
      <c r="C48" t="s">
        <v>3649</v>
      </c>
      <c r="D48" s="8">
        <v>1</v>
      </c>
      <c r="E48" s="9">
        <v>1109.03</v>
      </c>
      <c r="F48" s="8">
        <v>1008</v>
      </c>
      <c r="G48" s="10"/>
      <c r="H48" s="9" t="str">
        <f>IF(G48="","",E48*G48)</f>
        <v/>
      </c>
      <c r="I48" s="11" t="str">
        <f>HYPERLINK("https://optomposuda.ru/product/salatnik-magnoliya-25-sm-art-55531","открыть")</f>
        <v>открыть</v>
      </c>
    </row>
    <row r="49" spans="1:9" x14ac:dyDescent="0.25">
      <c r="A49" t="s">
        <v>3730</v>
      </c>
      <c r="B49" t="s">
        <v>3731</v>
      </c>
      <c r="C49" t="s">
        <v>3649</v>
      </c>
      <c r="D49" s="8">
        <v>6</v>
      </c>
      <c r="E49" s="9">
        <v>327.86</v>
      </c>
      <c r="F49" s="8">
        <v>1309</v>
      </c>
      <c r="G49" s="10"/>
      <c r="H49" s="9" t="str">
        <f>IF(G49="","",E49*G49)</f>
        <v/>
      </c>
      <c r="I49" s="11" t="str">
        <f>HYPERLINK("https://optomposuda.ru/product/tarelka-desernaya-21-sm-woodland-harmony","открыть")</f>
        <v>открыть</v>
      </c>
    </row>
    <row r="50" spans="1:9" x14ac:dyDescent="0.25">
      <c r="A50" t="s">
        <v>3732</v>
      </c>
      <c r="B50" t="s">
        <v>3733</v>
      </c>
      <c r="C50" t="s">
        <v>3649</v>
      </c>
      <c r="D50" s="8">
        <v>6</v>
      </c>
      <c r="E50" s="9">
        <v>340.47</v>
      </c>
      <c r="F50" s="8">
        <v>366</v>
      </c>
      <c r="G50" s="10"/>
      <c r="H50" s="9" t="str">
        <f>IF(G50="","",E50*G50)</f>
        <v/>
      </c>
      <c r="I50" s="11" t="str">
        <f>HYPERLINK("https://optomposuda.ru/product/tarelka-desertnaya-20-sm-folklore","открыть")</f>
        <v>открыть</v>
      </c>
    </row>
    <row r="51" spans="1:9" x14ac:dyDescent="0.25">
      <c r="A51" t="s">
        <v>3734</v>
      </c>
      <c r="B51" t="s">
        <v>3735</v>
      </c>
      <c r="C51" t="s">
        <v>3649</v>
      </c>
      <c r="D51" s="8">
        <v>6</v>
      </c>
      <c r="E51" s="9">
        <v>718.77</v>
      </c>
      <c r="F51" s="8">
        <v>1032</v>
      </c>
      <c r="G51" s="10"/>
      <c r="H51" s="9" t="str">
        <f>IF(G51="","",E51*G51)</f>
        <v/>
      </c>
      <c r="I51" s="11" t="str">
        <f>HYPERLINK("https://optomposuda.ru/product/tarelka-desertnaya-21-sm-elegant-gold","открыть")</f>
        <v>открыть</v>
      </c>
    </row>
    <row r="52" spans="1:9" x14ac:dyDescent="0.25">
      <c r="A52" t="s">
        <v>3736</v>
      </c>
      <c r="B52" t="s">
        <v>3737</v>
      </c>
      <c r="C52" t="s">
        <v>3649</v>
      </c>
      <c r="D52" s="8">
        <v>6</v>
      </c>
      <c r="E52" s="9">
        <v>453.96</v>
      </c>
      <c r="F52" s="8">
        <v>179</v>
      </c>
      <c r="G52" s="10"/>
      <c r="H52" s="9" t="str">
        <f>IF(G52="","",E52*G52)</f>
        <v/>
      </c>
      <c r="I52" s="11" t="str">
        <f>HYPERLINK("https://optomposuda.ru/product/tarelka-obedennaya-25-sm-folklore","открыть")</f>
        <v>открыть</v>
      </c>
    </row>
    <row r="53" spans="1:9" x14ac:dyDescent="0.25">
      <c r="A53" t="s">
        <v>3738</v>
      </c>
      <c r="B53" t="s">
        <v>3739</v>
      </c>
      <c r="C53" t="s">
        <v>3649</v>
      </c>
      <c r="D53" s="8">
        <v>6</v>
      </c>
      <c r="E53" s="9">
        <v>453.96</v>
      </c>
      <c r="F53" s="8">
        <v>1373</v>
      </c>
      <c r="G53" s="10"/>
      <c r="H53" s="9" t="str">
        <f>IF(G53="","",E53*G53)</f>
        <v/>
      </c>
      <c r="I53" s="11" t="str">
        <f>HYPERLINK("https://optomposuda.ru/product/tarelka-obedennaya-25-sm-woodland-harmony","открыть")</f>
        <v>открыть</v>
      </c>
    </row>
    <row r="54" spans="1:9" x14ac:dyDescent="0.25">
      <c r="A54" t="s">
        <v>3740</v>
      </c>
      <c r="B54" t="s">
        <v>3741</v>
      </c>
      <c r="C54" t="s">
        <v>3649</v>
      </c>
      <c r="D54" s="8">
        <v>6</v>
      </c>
      <c r="E54" s="9">
        <v>920.52</v>
      </c>
      <c r="F54" s="8">
        <v>988</v>
      </c>
      <c r="G54" s="10"/>
      <c r="H54" s="9" t="str">
        <f>IF(G54="","",E54*G54)</f>
        <v/>
      </c>
      <c r="I54" s="11" t="str">
        <f>HYPERLINK("https://optomposuda.ru/product/tarelka-obedennaya-27-sm-elegant-gold","открыть")</f>
        <v>открыть</v>
      </c>
    </row>
    <row r="55" spans="1:9" x14ac:dyDescent="0.25">
      <c r="A55" t="s">
        <v>3742</v>
      </c>
      <c r="B55" t="s">
        <v>3743</v>
      </c>
      <c r="C55" t="s">
        <v>3649</v>
      </c>
      <c r="D55" s="8">
        <v>6</v>
      </c>
      <c r="E55" s="9">
        <v>504.4</v>
      </c>
      <c r="F55" s="8">
        <v>521</v>
      </c>
      <c r="G55" s="10"/>
      <c r="H55" s="9" t="str">
        <f>IF(G55="","",E55*G55)</f>
        <v/>
      </c>
      <c r="I55" s="11" t="str">
        <f>HYPERLINK("https://optomposuda.ru/product/tarelka-podstanovochnaya-27-sm-folklore","открыть")</f>
        <v>открыть</v>
      </c>
    </row>
    <row r="56" spans="1:9" x14ac:dyDescent="0.25">
      <c r="A56" t="s">
        <v>3744</v>
      </c>
      <c r="B56" t="s">
        <v>3745</v>
      </c>
      <c r="C56" t="s">
        <v>3649</v>
      </c>
      <c r="D56" s="8">
        <v>6</v>
      </c>
      <c r="E56" s="9">
        <v>504.4</v>
      </c>
      <c r="F56" s="8">
        <v>1379</v>
      </c>
      <c r="G56" s="10"/>
      <c r="H56" s="9" t="str">
        <f>IF(G56="","",E56*G56)</f>
        <v/>
      </c>
      <c r="I56" s="11" t="str">
        <f>HYPERLINK("https://optomposuda.ru/product/tarelka-podstanovochnaya-27-sm-woodland-harmony","открыть")</f>
        <v>открыть</v>
      </c>
    </row>
    <row r="57" spans="1:9" x14ac:dyDescent="0.25">
      <c r="A57" t="s">
        <v>3746</v>
      </c>
      <c r="B57" t="s">
        <v>3747</v>
      </c>
      <c r="C57" t="s">
        <v>3649</v>
      </c>
      <c r="D57" s="8">
        <v>6</v>
      </c>
      <c r="E57" s="9">
        <v>718.77</v>
      </c>
      <c r="F57" s="8">
        <v>981</v>
      </c>
      <c r="G57" s="10"/>
      <c r="H57" s="9" t="str">
        <f>IF(G57="","",E57*G57)</f>
        <v/>
      </c>
      <c r="I57" s="11" t="str">
        <f>HYPERLINK("https://optomposuda.ru/product/tarelka-supovaya-21-sm-elegant-gold","открыть")</f>
        <v>открыть</v>
      </c>
    </row>
    <row r="58" spans="1:9" x14ac:dyDescent="0.25">
      <c r="A58" t="s">
        <v>3748</v>
      </c>
      <c r="B58" t="s">
        <v>3749</v>
      </c>
      <c r="C58" t="s">
        <v>3649</v>
      </c>
      <c r="D58" s="8">
        <v>6</v>
      </c>
      <c r="E58" s="9">
        <v>390.91</v>
      </c>
      <c r="F58" s="8">
        <v>1711</v>
      </c>
      <c r="G58" s="10"/>
      <c r="H58" s="9" t="str">
        <f>IF(G58="","",E58*G58)</f>
        <v/>
      </c>
      <c r="I58" s="11" t="str">
        <f>HYPERLINK("https://optomposuda.ru/product/tarelka-supovaya-21-sm-woodland-harmony","открыть")</f>
        <v>открыть</v>
      </c>
    </row>
    <row r="59" spans="1:9" x14ac:dyDescent="0.25">
      <c r="A59" t="s">
        <v>3750</v>
      </c>
      <c r="B59" t="s">
        <v>3751</v>
      </c>
      <c r="C59" t="s">
        <v>3649</v>
      </c>
      <c r="D59" s="8">
        <v>6</v>
      </c>
      <c r="E59" s="9">
        <v>416.13</v>
      </c>
      <c r="F59" s="8">
        <v>491</v>
      </c>
      <c r="G59" s="10"/>
      <c r="H59" s="9" t="str">
        <f>IF(G59="","",E59*G59)</f>
        <v/>
      </c>
      <c r="I59" s="11" t="str">
        <f>HYPERLINK("https://optomposuda.ru/product/tarelka-supovaya-23-sm-folklore","открыть")</f>
        <v>открыть</v>
      </c>
    </row>
    <row r="60" spans="1:9" x14ac:dyDescent="0.25">
      <c r="A60" t="s">
        <v>3752</v>
      </c>
      <c r="B60" t="s">
        <v>3753</v>
      </c>
      <c r="C60" t="s">
        <v>3649</v>
      </c>
      <c r="D60" s="8">
        <v>1</v>
      </c>
      <c r="E60" s="9">
        <v>539.87</v>
      </c>
      <c r="F60" s="8">
        <v>977</v>
      </c>
      <c r="G60" s="10"/>
      <c r="H60" s="9" t="str">
        <f>IF(G60="","",E60*G60)</f>
        <v/>
      </c>
      <c r="I60" s="11" t="str">
        <f>HYPERLINK("https://optomposuda.ru/product/tarelka-feeriya-21-sm-art-55501","открыть")</f>
        <v>открыть</v>
      </c>
    </row>
    <row r="61" spans="1:9" x14ac:dyDescent="0.25">
      <c r="A61" t="s">
        <v>3754</v>
      </c>
      <c r="B61" t="s">
        <v>3755</v>
      </c>
      <c r="C61" t="s">
        <v>3649</v>
      </c>
      <c r="D61" s="8">
        <v>1</v>
      </c>
      <c r="E61" s="9">
        <v>581.72</v>
      </c>
      <c r="F61" s="8">
        <v>985</v>
      </c>
      <c r="G61" s="10"/>
      <c r="H61" s="9" t="str">
        <f>IF(G61="","",E61*G61)</f>
        <v/>
      </c>
      <c r="I61" s="11" t="str">
        <f>HYPERLINK("https://optomposuda.ru/product/tarelka-feeriya-27-sm-art-55502","открыть")</f>
        <v>открыть</v>
      </c>
    </row>
    <row r="62" spans="1:9" x14ac:dyDescent="0.25">
      <c r="A62" t="s">
        <v>3756</v>
      </c>
      <c r="B62" t="s">
        <v>3757</v>
      </c>
      <c r="C62" t="s">
        <v>3649</v>
      </c>
      <c r="D62" s="8">
        <v>24</v>
      </c>
      <c r="E62" s="9">
        <v>620.28</v>
      </c>
      <c r="F62" s="8">
        <v>255</v>
      </c>
      <c r="G62" s="10"/>
      <c r="H62" s="9" t="str">
        <f>IF(G62="","",E62*G62)</f>
        <v/>
      </c>
      <c r="I62" s="11" t="str">
        <f>HYPERLINK("https://optomposuda.ru/product/chasha-sokrovische-zolotoe-15-sm","открыть")</f>
        <v>открыть</v>
      </c>
    </row>
    <row r="63" spans="1:9" x14ac:dyDescent="0.25">
      <c r="A63" t="s">
        <v>3758</v>
      </c>
      <c r="B63" t="s">
        <v>3759</v>
      </c>
      <c r="C63" t="s">
        <v>3649</v>
      </c>
      <c r="D63" s="8">
        <v>24</v>
      </c>
      <c r="E63" s="9">
        <v>620.28</v>
      </c>
      <c r="F63" s="8">
        <v>381</v>
      </c>
      <c r="G63" s="10"/>
      <c r="H63" s="9" t="str">
        <f>IF(G63="","",E63*G63)</f>
        <v/>
      </c>
      <c r="I63" s="11" t="str">
        <f>HYPERLINK("https://optomposuda.ru/product/chasha-sokrovische-chernoe-15-sm","открыть")</f>
        <v>открыть</v>
      </c>
    </row>
    <row r="64" spans="1:9" x14ac:dyDescent="0.25">
      <c r="A64" s="7" t="s">
        <v>21</v>
      </c>
      <c r="B64" s="7"/>
      <c r="C64" s="7"/>
      <c r="D64" s="7"/>
      <c r="E64" s="7"/>
      <c r="F64" s="7"/>
      <c r="G64" s="7"/>
      <c r="H64" s="7"/>
      <c r="I64" s="7"/>
    </row>
    <row r="65" spans="1:9" x14ac:dyDescent="0.25">
      <c r="A65" t="s">
        <v>3760</v>
      </c>
      <c r="B65" t="s">
        <v>3761</v>
      </c>
      <c r="C65" t="s">
        <v>3649</v>
      </c>
      <c r="D65" s="8">
        <v>15</v>
      </c>
      <c r="E65" s="9">
        <v>627.9</v>
      </c>
      <c r="F65" s="8">
        <v>65</v>
      </c>
      <c r="G65" s="10"/>
      <c r="H65" s="9" t="str">
        <f>IF(G65="","",E65*G65)</f>
        <v/>
      </c>
      <c r="I65" s="11" t="str">
        <f>HYPERLINK("https://optomposuda.ru/product/adapter-dlya-indukcionnoy-plity-23-5sm-tolschina-0-6-mm-2-sloya-iz-nerzhaveyuschaya-stalst","открыть")</f>
        <v>открыть</v>
      </c>
    </row>
    <row r="66" spans="1:9" x14ac:dyDescent="0.25">
      <c r="A66" t="s">
        <v>3762</v>
      </c>
      <c r="B66" t="s">
        <v>3763</v>
      </c>
      <c r="C66" t="s">
        <v>3649</v>
      </c>
      <c r="D66" s="8">
        <v>24</v>
      </c>
      <c r="E66" s="9">
        <v>162.72</v>
      </c>
      <c r="F66" s="8">
        <v>107</v>
      </c>
      <c r="G66" s="10"/>
      <c r="H66" s="9" t="str">
        <f>IF(G66="","",E66*G66)</f>
        <v/>
      </c>
      <c r="I66" s="11" t="str">
        <f>HYPERLINK("https://optomposuda.ru/product/doska-kuhonnaya-30-1-2-iz-plastika-kruglaya-s-fotoizobrazheniem","открыть")</f>
        <v>открыть</v>
      </c>
    </row>
    <row r="67" spans="1:9" x14ac:dyDescent="0.25">
      <c r="A67" t="s">
        <v>3764</v>
      </c>
      <c r="B67" t="s">
        <v>3765</v>
      </c>
      <c r="C67" t="s">
        <v>3649</v>
      </c>
      <c r="D67" s="8">
        <v>24</v>
      </c>
      <c r="E67" s="9">
        <v>312.55</v>
      </c>
      <c r="F67" s="8">
        <v>317</v>
      </c>
      <c r="G67" s="10"/>
      <c r="H67" s="9" t="str">
        <f>IF(G67="","",E67*G67)</f>
        <v/>
      </c>
      <c r="I67" s="11" t="str">
        <f>HYPERLINK("https://optomposuda.ru/product/doska-kuhonnaya-35-35-1-2-iz-plastika-s-poverhnostyu-iz-bambuka","открыть")</f>
        <v>открыть</v>
      </c>
    </row>
    <row r="68" spans="1:9" x14ac:dyDescent="0.25">
      <c r="A68" t="s">
        <v>3766</v>
      </c>
      <c r="B68" t="s">
        <v>3767</v>
      </c>
      <c r="C68" t="s">
        <v>3649</v>
      </c>
      <c r="D68" s="8">
        <v>144</v>
      </c>
      <c r="E68" s="9">
        <v>60.78</v>
      </c>
      <c r="F68" s="8">
        <v>371</v>
      </c>
      <c r="G68" s="10"/>
      <c r="H68" s="9" t="str">
        <f>IF(G68="","",E68*G68)</f>
        <v/>
      </c>
      <c r="I68" s="11" t="str">
        <f>HYPERLINK("https://optomposuda.ru/product/klyuch-dlya-otkryvaniya-probok-otkryvashka","открыть")</f>
        <v>открыть</v>
      </c>
    </row>
    <row r="69" spans="1:9" x14ac:dyDescent="0.25">
      <c r="A69" t="s">
        <v>3768</v>
      </c>
      <c r="B69" t="s">
        <v>3769</v>
      </c>
      <c r="C69" t="s">
        <v>3649</v>
      </c>
      <c r="D69" s="8">
        <v>24</v>
      </c>
      <c r="E69" s="9">
        <v>418.43</v>
      </c>
      <c r="F69" s="8">
        <v>112</v>
      </c>
      <c r="G69" s="10"/>
      <c r="H69" s="9" t="str">
        <f>IF(G69="","",E69*G69)</f>
        <v/>
      </c>
      <c r="I69" s="11" t="str">
        <f>HYPERLINK("https://optomposuda.ru/product/konteyner-1040ml-198x148x59mm-s-kryshkoy-dariis","открыть")</f>
        <v>открыть</v>
      </c>
    </row>
    <row r="70" spans="1:9" x14ac:dyDescent="0.25">
      <c r="A70" t="s">
        <v>3770</v>
      </c>
      <c r="B70" t="s">
        <v>3771</v>
      </c>
      <c r="C70" t="s">
        <v>3649</v>
      </c>
      <c r="D70" s="8">
        <v>12</v>
      </c>
      <c r="E70" s="9">
        <v>524.99</v>
      </c>
      <c r="F70" s="8">
        <v>621</v>
      </c>
      <c r="G70" s="10"/>
      <c r="H70" s="9" t="str">
        <f>IF(G70="","",E70*G70)</f>
        <v/>
      </c>
      <c r="I70" s="11" t="str">
        <f>HYPERLINK("https://optomposuda.ru/product/konteyner-1520ml-221h165h66mm-s-kryshkoy-dariis","открыть")</f>
        <v>открыть</v>
      </c>
    </row>
    <row r="71" spans="1:9" x14ac:dyDescent="0.25">
      <c r="A71" t="s">
        <v>3772</v>
      </c>
      <c r="B71" t="s">
        <v>3773</v>
      </c>
      <c r="C71" t="s">
        <v>3649</v>
      </c>
      <c r="D71" s="8">
        <v>24</v>
      </c>
      <c r="E71" s="9">
        <v>322.27</v>
      </c>
      <c r="F71" s="8">
        <v>80</v>
      </c>
      <c r="G71" s="10"/>
      <c r="H71" s="9" t="str">
        <f>IF(G71="","",E71*G71)</f>
        <v/>
      </c>
      <c r="I71" s="11" t="str">
        <f>HYPERLINK("https://optomposuda.ru/product/konteyner-640ml-171h126h52mm-s-kryshkoy-dariis","открыть")</f>
        <v>открыть</v>
      </c>
    </row>
    <row r="72" spans="1:9" x14ac:dyDescent="0.25">
      <c r="A72" t="s">
        <v>3774</v>
      </c>
      <c r="B72" t="s">
        <v>3775</v>
      </c>
      <c r="C72" t="s">
        <v>3649</v>
      </c>
      <c r="D72" s="8">
        <v>40</v>
      </c>
      <c r="E72" s="9">
        <v>345.95</v>
      </c>
      <c r="F72" s="8">
        <v>290</v>
      </c>
      <c r="G72" s="10"/>
      <c r="H72" s="9" t="str">
        <f>IF(G72="","",E72*G72)</f>
        <v/>
      </c>
      <c r="I72" s="11" t="str">
        <f>HYPERLINK("https://optomposuda.ru/product/nozh-kuhonnyy-150mm-belaya-keram-shark","открыть")</f>
        <v>открыть</v>
      </c>
    </row>
    <row r="73" spans="1:9" x14ac:dyDescent="0.25">
      <c r="A73" t="s">
        <v>3776</v>
      </c>
      <c r="B73" t="s">
        <v>3777</v>
      </c>
      <c r="C73" t="s">
        <v>3649</v>
      </c>
      <c r="D73" s="8">
        <v>40</v>
      </c>
      <c r="E73" s="9">
        <v>408.85</v>
      </c>
      <c r="F73" s="8">
        <v>148</v>
      </c>
      <c r="G73" s="10"/>
      <c r="H73" s="9" t="str">
        <f>IF(G73="","",E73*G73)</f>
        <v/>
      </c>
      <c r="I73" s="11" t="str">
        <f>HYPERLINK("https://optomposuda.ru/product/nozh-kuhonnyy-175mm-belaya-keram-classical","открыть")</f>
        <v>открыть</v>
      </c>
    </row>
    <row r="74" spans="1:9" x14ac:dyDescent="0.25">
      <c r="A74" t="s">
        <v>3778</v>
      </c>
      <c r="B74" t="s">
        <v>3779</v>
      </c>
      <c r="C74" t="s">
        <v>3649</v>
      </c>
      <c r="D74" s="8">
        <v>96</v>
      </c>
      <c r="E74" s="9">
        <v>118.3</v>
      </c>
      <c r="F74" s="8">
        <v>34</v>
      </c>
      <c r="G74" s="10"/>
      <c r="H74" s="9" t="str">
        <f>IF(G74="","",E74*G74)</f>
        <v/>
      </c>
      <c r="I74" s="11" t="str">
        <f>HYPERLINK("https://optomposuda.ru/product/terka-iz-nerzhaveyuschaya-stalaveyuschey-stali-1-lezvie-bez-pokrytiya-gitara","открыть")</f>
        <v>открыть</v>
      </c>
    </row>
    <row r="75" spans="1:9" x14ac:dyDescent="0.25">
      <c r="A75" s="7" t="s">
        <v>354</v>
      </c>
      <c r="B75" s="7"/>
      <c r="C75" s="7"/>
      <c r="D75" s="7"/>
      <c r="E75" s="7"/>
      <c r="F75" s="7"/>
      <c r="G75" s="7"/>
      <c r="H75" s="7"/>
      <c r="I75" s="7"/>
    </row>
    <row r="76" spans="1:9" x14ac:dyDescent="0.25">
      <c r="A76" t="s">
        <v>3780</v>
      </c>
      <c r="B76" t="s">
        <v>3781</v>
      </c>
      <c r="C76" t="s">
        <v>3649</v>
      </c>
      <c r="D76" s="8">
        <v>6</v>
      </c>
      <c r="E76" s="9">
        <v>927.68</v>
      </c>
      <c r="F76" s="8">
        <v>498</v>
      </c>
      <c r="G76" s="10"/>
      <c r="H76" s="9" t="str">
        <f>IF(G76="","",E76*G76)</f>
        <v/>
      </c>
      <c r="I76" s="11" t="str">
        <f>HYPERLINK("https://optomposuda.ru/product/nabor-family-iz-4-h-chashek-300-ml","открыть")</f>
        <v>открыть</v>
      </c>
    </row>
    <row r="77" spans="1:9" x14ac:dyDescent="0.25">
      <c r="A77" t="s">
        <v>3782</v>
      </c>
      <c r="B77" t="s">
        <v>3783</v>
      </c>
      <c r="C77" t="s">
        <v>3649</v>
      </c>
      <c r="D77" s="8">
        <v>12</v>
      </c>
      <c r="E77" s="9">
        <v>450.96</v>
      </c>
      <c r="F77" s="8">
        <v>1</v>
      </c>
      <c r="G77" s="10"/>
      <c r="H77" s="9" t="str">
        <f>IF(G77="","",E77*G77)</f>
        <v/>
      </c>
      <c r="I77" s="11" t="str">
        <f>HYPERLINK("https://optomposuda.ru/product/nabor-living-family-iz-2-h-chashek-300-ml-art-krjyd745-8207-2-obechayka","открыть")</f>
        <v>открыть</v>
      </c>
    </row>
    <row r="78" spans="1:9" x14ac:dyDescent="0.25">
      <c r="A78" t="s">
        <v>3784</v>
      </c>
      <c r="B78" t="s">
        <v>3785</v>
      </c>
      <c r="C78" t="s">
        <v>3649</v>
      </c>
      <c r="D78" s="8">
        <v>6</v>
      </c>
      <c r="E78" s="9">
        <v>1185.38</v>
      </c>
      <c r="F78" s="8">
        <v>600</v>
      </c>
      <c r="G78" s="10"/>
      <c r="H78" s="9" t="str">
        <f>IF(G78="","",E78*G78)</f>
        <v/>
      </c>
      <c r="I78" s="11" t="str">
        <f>HYPERLINK("https://optomposuda.ru/product/nabor-tea-iz-4-h-chashek-320-ml","открыть")</f>
        <v>открыть</v>
      </c>
    </row>
    <row r="79" spans="1:9" x14ac:dyDescent="0.25">
      <c r="A79" t="s">
        <v>3786</v>
      </c>
      <c r="B79" t="s">
        <v>3787</v>
      </c>
      <c r="C79" t="s">
        <v>3649</v>
      </c>
      <c r="D79" s="8">
        <v>12</v>
      </c>
      <c r="E79" s="9">
        <v>566.91</v>
      </c>
      <c r="F79" s="8">
        <v>37</v>
      </c>
      <c r="G79" s="10"/>
      <c r="H79" s="9" t="str">
        <f>IF(G79="","",E79*G79)</f>
        <v/>
      </c>
      <c r="I79" s="11" t="str">
        <f>HYPERLINK("https://optomposuda.ru/product/nabor-iz-2-h-chashek-coffee-340-ml","открыть")</f>
        <v>открыть</v>
      </c>
    </row>
    <row r="80" spans="1:9" x14ac:dyDescent="0.25">
      <c r="A80" t="s">
        <v>3788</v>
      </c>
      <c r="B80" t="s">
        <v>3789</v>
      </c>
      <c r="C80" t="s">
        <v>3649</v>
      </c>
      <c r="D80" s="8">
        <v>12</v>
      </c>
      <c r="E80" s="9">
        <v>566.91</v>
      </c>
      <c r="F80" s="8">
        <v>39</v>
      </c>
      <c r="G80" s="10"/>
      <c r="H80" s="9" t="str">
        <f>IF(G80="","",E80*G80)</f>
        <v/>
      </c>
      <c r="I80" s="11" t="str">
        <f>HYPERLINK("https://optomposuda.ru/product/nabor-iz-2-h-chashek-vanilla-mocha-340-ml","открыть")</f>
        <v>открыть</v>
      </c>
    </row>
    <row r="81" spans="1:9" x14ac:dyDescent="0.25">
      <c r="A81" t="s">
        <v>3790</v>
      </c>
      <c r="B81" t="s">
        <v>3791</v>
      </c>
      <c r="C81" t="s">
        <v>3649</v>
      </c>
      <c r="D81" s="8">
        <v>6</v>
      </c>
      <c r="E81" s="9">
        <v>1133.84</v>
      </c>
      <c r="F81" s="8">
        <v>500</v>
      </c>
      <c r="G81" s="10"/>
      <c r="H81" s="9" t="str">
        <f>IF(G81="","",E81*G81)</f>
        <v/>
      </c>
      <c r="I81" s="11" t="str">
        <f>HYPERLINK("https://optomposuda.ru/product/nabor-iz-4-h-kruzhek-coffee-370-ml","открыть")</f>
        <v>открыть</v>
      </c>
    </row>
    <row r="82" spans="1:9" x14ac:dyDescent="0.25">
      <c r="A82" t="s">
        <v>3792</v>
      </c>
      <c r="B82" t="s">
        <v>3793</v>
      </c>
      <c r="C82" t="s">
        <v>3649</v>
      </c>
      <c r="D82" s="8">
        <v>6</v>
      </c>
      <c r="E82" s="9">
        <v>882.59</v>
      </c>
      <c r="F82" s="8">
        <v>553</v>
      </c>
      <c r="G82" s="10"/>
      <c r="H82" s="9" t="str">
        <f>IF(G82="","",E82*G82)</f>
        <v/>
      </c>
      <c r="I82" s="11" t="str">
        <f>HYPERLINK("https://optomposuda.ru/product/nabor-chaynyy-na-2-pers-latte-cappuccino-320-ml","открыть")</f>
        <v>открыть</v>
      </c>
    </row>
    <row r="83" spans="1:9" x14ac:dyDescent="0.25">
      <c r="A83" s="7" t="s">
        <v>145</v>
      </c>
      <c r="B83" s="7"/>
      <c r="C83" s="7"/>
      <c r="D83" s="7"/>
      <c r="E83" s="7"/>
      <c r="F83" s="7"/>
      <c r="G83" s="7"/>
      <c r="H83" s="7"/>
      <c r="I83" s="7"/>
    </row>
    <row r="84" spans="1:9" x14ac:dyDescent="0.25">
      <c r="A84" t="s">
        <v>3794</v>
      </c>
      <c r="B84" t="s">
        <v>3795</v>
      </c>
      <c r="C84" t="s">
        <v>3649</v>
      </c>
      <c r="D84" s="8">
        <v>2</v>
      </c>
      <c r="E84" s="9">
        <v>1620</v>
      </c>
      <c r="F84" s="8">
        <v>33</v>
      </c>
      <c r="G84" s="10"/>
      <c r="H84" s="9" t="str">
        <f>IF(G84="","",E84*G84)</f>
        <v/>
      </c>
      <c r="I84" s="11" t="str">
        <f>HYPERLINK("https://optomposuda.ru/product/0040-5-skovoroda-sadzh-chugunnaya-400mm-s2-mya-litymi-ruchkami-tm-dariis","открыть")</f>
        <v>открыть</v>
      </c>
    </row>
    <row r="85" spans="1:9" x14ac:dyDescent="0.25">
      <c r="A85" t="s">
        <v>3796</v>
      </c>
      <c r="B85" t="s">
        <v>3797</v>
      </c>
      <c r="C85" t="s">
        <v>3649</v>
      </c>
      <c r="D85" s="8">
        <v>2</v>
      </c>
      <c r="E85" s="9">
        <v>1782.5</v>
      </c>
      <c r="F85" s="8">
        <v>31</v>
      </c>
      <c r="G85" s="10"/>
      <c r="H85" s="9" t="str">
        <f>IF(G85="","",E85*G85)</f>
        <v/>
      </c>
      <c r="I85" s="11" t="str">
        <f>HYPERLINK("https://optomposuda.ru/product/0045-5-skovoroda-sadzh-chugunnaya-450mm-s2-mya-litymi-ruchkami-tm-dariis","открыть")</f>
        <v>открыть</v>
      </c>
    </row>
    <row r="86" spans="1:9" x14ac:dyDescent="0.25">
      <c r="A86" t="s">
        <v>3798</v>
      </c>
      <c r="B86" t="s">
        <v>3799</v>
      </c>
      <c r="C86" t="s">
        <v>3649</v>
      </c>
      <c r="D86" s="8">
        <v>1</v>
      </c>
      <c r="E86" s="9">
        <v>2511.25</v>
      </c>
      <c r="F86" s="8">
        <v>4</v>
      </c>
      <c r="G86" s="10"/>
      <c r="H86" s="9" t="str">
        <f>IF(G86="","",E86*G86)</f>
        <v/>
      </c>
      <c r="I86" s="11" t="str">
        <f>HYPERLINK("https://optomposuda.ru/product/1512-6-kazan-chugunnyy-pohodnyy-12l-s-alyuminievoy-kryshkoy-i-s-duzhkoy-d-320-tm-dariis","открыть")</f>
        <v>открыть</v>
      </c>
    </row>
    <row r="87" spans="1:9" x14ac:dyDescent="0.25">
      <c r="A87" t="s">
        <v>3800</v>
      </c>
      <c r="B87" t="s">
        <v>3801</v>
      </c>
      <c r="C87" t="s">
        <v>3649</v>
      </c>
      <c r="D87" s="8">
        <v>1</v>
      </c>
      <c r="E87" s="9">
        <v>3077.5</v>
      </c>
      <c r="F87" s="8">
        <v>3</v>
      </c>
      <c r="G87" s="10"/>
      <c r="H87" s="9" t="str">
        <f>IF(G87="","",E87*G87)</f>
        <v/>
      </c>
      <c r="I87" s="11" t="str">
        <f>HYPERLINK("https://optomposuda.ru/product/1515-6-kazan-chugunnyy-pohodnyy-15l-s-alyuminievoy-kryshkoy-i-s-duzhkoy-d-360-tm-dariis","открыть")</f>
        <v>открыть</v>
      </c>
    </row>
    <row r="88" spans="1:9" x14ac:dyDescent="0.25">
      <c r="A88" t="s">
        <v>3802</v>
      </c>
      <c r="B88" t="s">
        <v>3803</v>
      </c>
      <c r="C88" t="s">
        <v>3649</v>
      </c>
      <c r="D88" s="8">
        <v>1</v>
      </c>
      <c r="E88" s="9">
        <v>3563.75</v>
      </c>
      <c r="F88" s="8">
        <v>2</v>
      </c>
      <c r="G88" s="10"/>
      <c r="H88" s="9" t="str">
        <f>IF(G88="","",E88*G88)</f>
        <v/>
      </c>
      <c r="I88" s="11" t="str">
        <f>HYPERLINK("https://optomposuda.ru/product/1520-6-kazan-chugunnyy-pohodnyy-20l-s-alyuminievoy-kryshkoy-i-s-duzhkoy-d-400-tm-dariis","открыть")</f>
        <v>открыть</v>
      </c>
    </row>
    <row r="89" spans="1:9" x14ac:dyDescent="0.25">
      <c r="A89" t="s">
        <v>3804</v>
      </c>
      <c r="B89" t="s">
        <v>3805</v>
      </c>
      <c r="C89" t="s">
        <v>3649</v>
      </c>
      <c r="D89" s="8">
        <v>1</v>
      </c>
      <c r="E89" s="9">
        <v>2592.5</v>
      </c>
      <c r="F89" s="8">
        <v>2</v>
      </c>
      <c r="G89" s="10"/>
      <c r="H89" s="9" t="str">
        <f>IF(G89="","",E89*G89)</f>
        <v/>
      </c>
      <c r="I89" s="11" t="str">
        <f>HYPERLINK("https://optomposuda.ru/product/1612-6-kazan-pohodnyy-chugunnyy-tatarskiy-12l-s-alyuminievoy-kryshkoy-i-s-duzhkoy-d-400-tm","открыть")</f>
        <v>открыть</v>
      </c>
    </row>
    <row r="90" spans="1:9" x14ac:dyDescent="0.25">
      <c r="A90" t="s">
        <v>3806</v>
      </c>
      <c r="B90" t="s">
        <v>3807</v>
      </c>
      <c r="C90" t="s">
        <v>3649</v>
      </c>
      <c r="D90" s="8">
        <v>1</v>
      </c>
      <c r="E90" s="9">
        <v>3563.75</v>
      </c>
      <c r="F90" s="8">
        <v>2</v>
      </c>
      <c r="G90" s="10"/>
      <c r="H90" s="9" t="str">
        <f>IF(G90="","",E90*G90)</f>
        <v/>
      </c>
      <c r="I90" s="11" t="str">
        <f>HYPERLINK("https://optomposuda.ru/product/1615-6-kazan-pohodnyy-chugunnyy-tatarskiy-15l-s-alyuminievoy-kryshkoy-i-s-duzhkoy-d-450-tm","открыть")</f>
        <v>открыть</v>
      </c>
    </row>
    <row r="91" spans="1:9" x14ac:dyDescent="0.25">
      <c r="A91" t="s">
        <v>3808</v>
      </c>
      <c r="B91" t="s">
        <v>3809</v>
      </c>
      <c r="C91" t="s">
        <v>3649</v>
      </c>
      <c r="D91" s="8">
        <v>1</v>
      </c>
      <c r="E91" s="9">
        <v>4050</v>
      </c>
      <c r="F91" s="8">
        <v>3</v>
      </c>
      <c r="G91" s="10"/>
      <c r="H91" s="9" t="str">
        <f>IF(G91="","",E91*G91)</f>
        <v/>
      </c>
      <c r="I91" s="11" t="str">
        <f>HYPERLINK("https://optomposuda.ru/product/1618-6-kazan-pohodnyy-chugunnyy-tatarskiy-18l-s-alyuminievoy-kryshkoy-i-s-duzhkoy-d-500-tm","открыть")</f>
        <v>открыть</v>
      </c>
    </row>
    <row r="92" spans="1:9" x14ac:dyDescent="0.25">
      <c r="A92" t="s">
        <v>3810</v>
      </c>
      <c r="B92" t="s">
        <v>3811</v>
      </c>
      <c r="C92" t="s">
        <v>3649</v>
      </c>
      <c r="D92" s="8">
        <v>3</v>
      </c>
      <c r="E92" s="9">
        <v>1533.93</v>
      </c>
      <c r="F92" s="8">
        <v>425</v>
      </c>
      <c r="G92" s="10"/>
      <c r="H92" s="9" t="str">
        <f>IF(G92="","",E92*G92)</f>
        <v/>
      </c>
      <c r="I92" s="11" t="str">
        <f>HYPERLINK("https://optomposuda.ru/product/zharovnya-26-sm-mramor-3-7l-s-kryshkoy","открыть")</f>
        <v>открыть</v>
      </c>
    </row>
    <row r="93" spans="1:9" x14ac:dyDescent="0.25">
      <c r="A93" t="s">
        <v>3812</v>
      </c>
      <c r="B93" t="s">
        <v>3813</v>
      </c>
      <c r="C93" t="s">
        <v>3649</v>
      </c>
      <c r="D93" s="8">
        <v>4</v>
      </c>
      <c r="E93" s="9">
        <v>1573.22</v>
      </c>
      <c r="F93" s="8">
        <v>31</v>
      </c>
      <c r="G93" s="10"/>
      <c r="H93" s="9" t="str">
        <f>IF(G93="","",E93*G93)</f>
        <v/>
      </c>
      <c r="I93" s="11" t="str">
        <f>HYPERLINK("https://optomposuda.ru/product/zharovnya-28-sm-mramor-4-5-l-s-kryshkoy-so-semnymi-ruchkami","открыть")</f>
        <v>открыть</v>
      </c>
    </row>
    <row r="94" spans="1:9" x14ac:dyDescent="0.25">
      <c r="A94" t="s">
        <v>3814</v>
      </c>
      <c r="B94" t="s">
        <v>3815</v>
      </c>
      <c r="C94" t="s">
        <v>3649</v>
      </c>
      <c r="D94" s="8">
        <v>3</v>
      </c>
      <c r="E94" s="9">
        <v>1312.8</v>
      </c>
      <c r="F94" s="8">
        <v>843</v>
      </c>
      <c r="G94" s="10"/>
      <c r="H94" s="9" t="str">
        <f>IF(G94="","",E94*G94)</f>
        <v/>
      </c>
      <c r="I94" s="11" t="str">
        <f>HYPERLINK("https://optomposuda.ru/product/zharovnya-f-24-sm-granit-mechta-s-kryshkoy-3-0-l","открыть")</f>
        <v>открыть</v>
      </c>
    </row>
    <row r="95" spans="1:9" x14ac:dyDescent="0.25">
      <c r="A95" t="s">
        <v>3816</v>
      </c>
      <c r="B95" t="s">
        <v>3817</v>
      </c>
      <c r="C95" t="s">
        <v>3649</v>
      </c>
      <c r="D95" s="8">
        <v>3</v>
      </c>
      <c r="E95" s="9">
        <v>1384.73</v>
      </c>
      <c r="F95" s="8">
        <v>1770</v>
      </c>
      <c r="G95" s="10"/>
      <c r="H95" s="9" t="str">
        <f>IF(G95="","",E95*G95)</f>
        <v/>
      </c>
      <c r="I95" s="11" t="str">
        <f>HYPERLINK("https://optomposuda.ru/product/zharovnya-f-26-sm-granit-mechta-s-kryshkoy-3-0-l","открыть")</f>
        <v>открыть</v>
      </c>
    </row>
    <row r="96" spans="1:9" x14ac:dyDescent="0.25">
      <c r="A96" t="s">
        <v>3818</v>
      </c>
      <c r="B96" t="s">
        <v>3819</v>
      </c>
      <c r="C96" t="s">
        <v>3649</v>
      </c>
      <c r="D96" s="8">
        <v>3</v>
      </c>
      <c r="E96" s="9">
        <v>1463.77</v>
      </c>
      <c r="F96" s="8">
        <v>1679</v>
      </c>
      <c r="G96" s="10"/>
      <c r="H96" s="9" t="str">
        <f>IF(G96="","",E96*G96)</f>
        <v/>
      </c>
      <c r="I96" s="11" t="str">
        <f>HYPERLINK("https://optomposuda.ru/product/zharovnya-f-28-sm-granit-mechta-s-kryshkoy-3-5-l","открыть")</f>
        <v>открыть</v>
      </c>
    </row>
    <row r="97" spans="1:9" x14ac:dyDescent="0.25">
      <c r="A97" t="s">
        <v>3820</v>
      </c>
      <c r="B97" t="s">
        <v>3821</v>
      </c>
      <c r="C97" t="s">
        <v>3649</v>
      </c>
      <c r="D97" s="8">
        <v>3</v>
      </c>
      <c r="E97" s="9">
        <v>1766.24</v>
      </c>
      <c r="F97" s="8">
        <v>380</v>
      </c>
      <c r="G97" s="10"/>
      <c r="H97" s="9" t="str">
        <f>IF(G97="","",E97*G97)</f>
        <v/>
      </c>
      <c r="I97" s="11" t="str">
        <f>HYPERLINK("https://optomposuda.ru/product/zharovnya-f-32-sm-granit-mechta-s-kryshkoy-5-5-l","открыть")</f>
        <v>открыть</v>
      </c>
    </row>
    <row r="98" spans="1:9" x14ac:dyDescent="0.25">
      <c r="A98" t="s">
        <v>3822</v>
      </c>
      <c r="B98" t="s">
        <v>3823</v>
      </c>
      <c r="C98" t="s">
        <v>3649</v>
      </c>
      <c r="D98" s="8">
        <v>5</v>
      </c>
      <c r="E98" s="9">
        <v>2551.25</v>
      </c>
      <c r="F98" s="8">
        <v>6</v>
      </c>
      <c r="G98" s="10"/>
      <c r="H98" s="9" t="str">
        <f>IF(G98="","",E98*G98)</f>
        <v/>
      </c>
      <c r="I98" s="11" t="str">
        <f>HYPERLINK("https://optomposuda.ru/product/kazan-20l-dlya-plova-alyuminiy-s-kryshkoy-bez-duzhkitm-dariis-20-0","открыть")</f>
        <v>открыть</v>
      </c>
    </row>
    <row r="99" spans="1:9" x14ac:dyDescent="0.25">
      <c r="A99" t="s">
        <v>3824</v>
      </c>
      <c r="B99" t="s">
        <v>3825</v>
      </c>
      <c r="C99" t="s">
        <v>3649</v>
      </c>
      <c r="D99" s="8">
        <v>1</v>
      </c>
      <c r="E99" s="9">
        <v>1464.58</v>
      </c>
      <c r="F99" s="8">
        <v>208</v>
      </c>
      <c r="G99" s="10"/>
      <c r="H99" s="9" t="str">
        <f>IF(G99="","",E99*G99)</f>
        <v/>
      </c>
      <c r="I99" s="11" t="str">
        <f>HYPERLINK("https://optomposuda.ru/product/kazan-4-0l-granit-mechta-s-kryshkoy-f28","открыть")</f>
        <v>открыть</v>
      </c>
    </row>
    <row r="100" spans="1:9" x14ac:dyDescent="0.25">
      <c r="A100" t="s">
        <v>3826</v>
      </c>
      <c r="B100" t="s">
        <v>3827</v>
      </c>
      <c r="C100" t="s">
        <v>3649</v>
      </c>
      <c r="D100" s="8">
        <v>1</v>
      </c>
      <c r="E100" s="9">
        <v>1532.65</v>
      </c>
      <c r="F100" s="8">
        <v>5</v>
      </c>
      <c r="G100" s="10"/>
      <c r="H100" s="9" t="str">
        <f>IF(G100="","",E100*G100)</f>
        <v/>
      </c>
      <c r="I100" s="11" t="str">
        <f>HYPERLINK("https://optomposuda.ru/product/kazan-5-0l-granit-mechta-s-kryshkoy-f28","открыть")</f>
        <v>открыть</v>
      </c>
    </row>
    <row r="101" spans="1:9" x14ac:dyDescent="0.25">
      <c r="A101" t="s">
        <v>3828</v>
      </c>
      <c r="B101" t="s">
        <v>3829</v>
      </c>
      <c r="C101" t="s">
        <v>3649</v>
      </c>
      <c r="D101" s="8">
        <v>5</v>
      </c>
      <c r="E101" s="9">
        <v>2848.75</v>
      </c>
      <c r="F101" s="8">
        <v>2</v>
      </c>
      <c r="G101" s="10"/>
      <c r="H101" s="9" t="str">
        <f>IF(G101="","",E101*G101)</f>
        <v/>
      </c>
      <c r="I101" s="11" t="str">
        <f>HYPERLINK("https://optomposuda.ru/product/kazan-tatarskiy-22l-alyuminiy-s-kryshkoy-bez-duzhki-tm-dariis-22-2","открыть")</f>
        <v>открыть</v>
      </c>
    </row>
    <row r="102" spans="1:9" x14ac:dyDescent="0.25">
      <c r="A102" t="s">
        <v>3830</v>
      </c>
      <c r="B102" t="s">
        <v>3831</v>
      </c>
      <c r="C102" t="s">
        <v>3649</v>
      </c>
      <c r="D102" s="8">
        <v>6</v>
      </c>
      <c r="E102" s="9">
        <v>445</v>
      </c>
      <c r="F102" s="8">
        <v>11</v>
      </c>
      <c r="G102" s="10"/>
      <c r="H102" s="9" t="str">
        <f>IF(G102="","",E102*G102)</f>
        <v/>
      </c>
      <c r="I102" s="11" t="str">
        <f>HYPERLINK("https://optomposuda.ru/product/kastryulya-1-0l-alyuminiy-s-kryshkoy-bez-duzhki-tm-dariis-01-3","открыть")</f>
        <v>открыть</v>
      </c>
    </row>
    <row r="103" spans="1:9" x14ac:dyDescent="0.25">
      <c r="A103" t="s">
        <v>3832</v>
      </c>
      <c r="B103" t="s">
        <v>3833</v>
      </c>
      <c r="C103" t="s">
        <v>3649</v>
      </c>
      <c r="D103" s="8">
        <v>6</v>
      </c>
      <c r="E103" s="9">
        <v>472.5</v>
      </c>
      <c r="F103" s="8">
        <v>11</v>
      </c>
      <c r="G103" s="10"/>
      <c r="H103" s="9" t="str">
        <f>IF(G103="","",E103*G103)</f>
        <v/>
      </c>
      <c r="I103" s="11" t="str">
        <f>HYPERLINK("https://optomposuda.ru/product/kastryulya-1-5l-alyuminiy-s-kryshkoy-bez-duzhki-tm-dariis-01-5-3","открыть")</f>
        <v>открыть</v>
      </c>
    </row>
    <row r="104" spans="1:9" x14ac:dyDescent="0.25">
      <c r="A104" t="s">
        <v>3834</v>
      </c>
      <c r="B104" t="s">
        <v>3835</v>
      </c>
      <c r="C104" t="s">
        <v>3649</v>
      </c>
      <c r="D104" s="8">
        <v>1</v>
      </c>
      <c r="E104" s="9">
        <v>975.77</v>
      </c>
      <c r="F104" s="8">
        <v>1100</v>
      </c>
      <c r="G104" s="10"/>
      <c r="H104" s="9" t="str">
        <f>IF(G104="","",E104*G104)</f>
        <v/>
      </c>
      <c r="I104" s="11" t="str">
        <f>HYPERLINK("https://optomposuda.ru/product/kastryulya-1-5l-granit-mechta-s-kryshkoy-f16","открыть")</f>
        <v>открыть</v>
      </c>
    </row>
    <row r="105" spans="1:9" x14ac:dyDescent="0.25">
      <c r="A105" t="s">
        <v>3836</v>
      </c>
      <c r="B105" t="s">
        <v>3837</v>
      </c>
      <c r="C105" t="s">
        <v>3649</v>
      </c>
      <c r="D105" s="8">
        <v>1</v>
      </c>
      <c r="E105" s="9">
        <v>2111.12</v>
      </c>
      <c r="F105" s="8">
        <v>73</v>
      </c>
      <c r="G105" s="10"/>
      <c r="H105" s="9" t="str">
        <f>IF(G105="","",E105*G105)</f>
        <v/>
      </c>
      <c r="I105" s="11" t="str">
        <f>HYPERLINK("https://optomposuda.ru/product/kastryulya-10-0-l-granit-mechta-f32","открыть")</f>
        <v>открыть</v>
      </c>
    </row>
    <row r="106" spans="1:9" x14ac:dyDescent="0.25">
      <c r="A106" t="s">
        <v>3838</v>
      </c>
      <c r="B106" t="s">
        <v>3839</v>
      </c>
      <c r="C106" t="s">
        <v>3649</v>
      </c>
      <c r="D106" s="8">
        <v>6</v>
      </c>
      <c r="E106" s="9">
        <v>1351.81</v>
      </c>
      <c r="F106" s="8">
        <v>802</v>
      </c>
      <c r="G106" s="10"/>
      <c r="H106" s="9" t="str">
        <f>IF(G106="","",E106*G106)</f>
        <v/>
      </c>
      <c r="I106" s="11" t="str">
        <f>HYPERLINK("https://optomposuda.ru/product/kastryulya-2-0l-granit-mechta-s-kryshkoy-f20","открыть")</f>
        <v>открыть</v>
      </c>
    </row>
    <row r="107" spans="1:9" x14ac:dyDescent="0.25">
      <c r="A107" t="s">
        <v>3840</v>
      </c>
      <c r="B107" t="s">
        <v>3841</v>
      </c>
      <c r="C107" t="s">
        <v>3649</v>
      </c>
      <c r="D107" s="8">
        <v>1</v>
      </c>
      <c r="E107" s="9">
        <v>1486.78</v>
      </c>
      <c r="F107" s="8">
        <v>64</v>
      </c>
      <c r="G107" s="10"/>
      <c r="H107" s="9" t="str">
        <f>IF(G107="","",E107*G107)</f>
        <v/>
      </c>
      <c r="I107" s="11" t="str">
        <f>HYPERLINK("https://optomposuda.ru/product/kastryulya-3-0l-granit-braun-braun-s-kryshkoy-f20","открыть")</f>
        <v>открыть</v>
      </c>
    </row>
    <row r="108" spans="1:9" x14ac:dyDescent="0.25">
      <c r="A108" t="s">
        <v>3842</v>
      </c>
      <c r="B108" t="s">
        <v>3843</v>
      </c>
      <c r="C108" t="s">
        <v>3649</v>
      </c>
      <c r="D108" s="8">
        <v>10</v>
      </c>
      <c r="E108" s="9">
        <v>1427.58</v>
      </c>
      <c r="F108" s="8">
        <v>1192</v>
      </c>
      <c r="G108" s="10"/>
      <c r="H108" s="9" t="str">
        <f>IF(G108="","",E108*G108)</f>
        <v/>
      </c>
      <c r="I108" s="11" t="str">
        <f>HYPERLINK("https://optomposuda.ru/product/kastryulya-3-0l-granit-mechta-s-kryshkoy-f24sm","открыть")</f>
        <v>открыть</v>
      </c>
    </row>
    <row r="109" spans="1:9" x14ac:dyDescent="0.25">
      <c r="A109" t="s">
        <v>3844</v>
      </c>
      <c r="B109" t="s">
        <v>3845</v>
      </c>
      <c r="C109" t="s">
        <v>3649</v>
      </c>
      <c r="D109" s="8">
        <v>1</v>
      </c>
      <c r="E109" s="9">
        <v>1176.53</v>
      </c>
      <c r="F109" s="8">
        <v>20</v>
      </c>
      <c r="G109" s="10"/>
      <c r="H109" s="9" t="str">
        <f>IF(G109="","",E109*G109)</f>
        <v/>
      </c>
      <c r="I109" s="11" t="str">
        <f>HYPERLINK("https://optomposuda.ru/product/kastryulya-3l-dariis-kuhmister-f20-s-kryshkoy-art-fku-3","открыть")</f>
        <v>открыть</v>
      </c>
    </row>
    <row r="110" spans="1:9" x14ac:dyDescent="0.25">
      <c r="A110" t="s">
        <v>3846</v>
      </c>
      <c r="B110" t="s">
        <v>3847</v>
      </c>
      <c r="C110" t="s">
        <v>3649</v>
      </c>
      <c r="D110" s="8">
        <v>8</v>
      </c>
      <c r="E110" s="9">
        <v>1554.43</v>
      </c>
      <c r="F110" s="8">
        <v>1300</v>
      </c>
      <c r="G110" s="10"/>
      <c r="H110" s="9" t="str">
        <f>IF(G110="","",E110*G110)</f>
        <v/>
      </c>
      <c r="I110" s="11" t="str">
        <f>HYPERLINK("https://optomposuda.ru/product/kastryulya-4-0l-granit-mechta-s-kryshkoy-f26","открыть")</f>
        <v>открыть</v>
      </c>
    </row>
    <row r="111" spans="1:9" x14ac:dyDescent="0.25">
      <c r="A111" t="s">
        <v>3848</v>
      </c>
      <c r="B111" t="s">
        <v>3849</v>
      </c>
      <c r="C111" t="s">
        <v>3649</v>
      </c>
      <c r="D111" s="8">
        <v>1</v>
      </c>
      <c r="E111" s="9">
        <v>1778.4</v>
      </c>
      <c r="F111" s="8">
        <v>254</v>
      </c>
      <c r="G111" s="10"/>
      <c r="H111" s="9" t="str">
        <f>IF(G111="","",E111*G111)</f>
        <v/>
      </c>
      <c r="I111" s="11" t="str">
        <f>HYPERLINK("https://optomposuda.ru/product/kastryulya-5-0l-granit-braun-braun-s-kryshkoy-f24","открыть")</f>
        <v>открыть</v>
      </c>
    </row>
    <row r="112" spans="1:9" x14ac:dyDescent="0.25">
      <c r="A112" t="s">
        <v>3850</v>
      </c>
      <c r="B112" t="s">
        <v>3851</v>
      </c>
      <c r="C112" t="s">
        <v>3649</v>
      </c>
      <c r="D112" s="8">
        <v>1</v>
      </c>
      <c r="E112" s="9">
        <v>1616.44</v>
      </c>
      <c r="F112" s="8">
        <v>873</v>
      </c>
      <c r="G112" s="10"/>
      <c r="H112" s="9" t="str">
        <f>IF(G112="","",E112*G112)</f>
        <v/>
      </c>
      <c r="I112" s="11" t="str">
        <f>HYPERLINK("https://optomposuda.ru/product/kastryulya-5-0l-granit-mechta-f26-s-kryshkoy","открыть")</f>
        <v>открыть</v>
      </c>
    </row>
    <row r="113" spans="1:9" x14ac:dyDescent="0.25">
      <c r="A113" t="s">
        <v>3852</v>
      </c>
      <c r="B113" t="s">
        <v>3853</v>
      </c>
      <c r="C113" t="s">
        <v>3649</v>
      </c>
      <c r="D113" s="8">
        <v>1</v>
      </c>
      <c r="E113" s="9">
        <v>1778.4</v>
      </c>
      <c r="F113" s="8">
        <v>31</v>
      </c>
      <c r="G113" s="10"/>
      <c r="H113" s="9" t="str">
        <f>IF(G113="","",E113*G113)</f>
        <v/>
      </c>
      <c r="I113" s="11" t="str">
        <f>HYPERLINK("https://optomposuda.ru/product/kastryulya-5-0l-mramor-s-kryshkoy-f24","открыть")</f>
        <v>открыть</v>
      </c>
    </row>
    <row r="114" spans="1:9" x14ac:dyDescent="0.25">
      <c r="A114" t="s">
        <v>3854</v>
      </c>
      <c r="B114" t="s">
        <v>3855</v>
      </c>
      <c r="C114" t="s">
        <v>3649</v>
      </c>
      <c r="D114" s="8">
        <v>1</v>
      </c>
      <c r="E114" s="9">
        <v>1398.96</v>
      </c>
      <c r="F114" s="8">
        <v>63</v>
      </c>
      <c r="G114" s="10"/>
      <c r="H114" s="9" t="str">
        <f>IF(G114="","",E114*G114)</f>
        <v/>
      </c>
      <c r="I114" s="11" t="str">
        <f>HYPERLINK("https://optomposuda.ru/product/kastryulya-5l-dariis-kuhmister-f24-s-kryshkoy-art-fku-5","открыть")</f>
        <v>открыть</v>
      </c>
    </row>
    <row r="115" spans="1:9" x14ac:dyDescent="0.25">
      <c r="A115" t="s">
        <v>3856</v>
      </c>
      <c r="B115" t="s">
        <v>3857</v>
      </c>
      <c r="C115" t="s">
        <v>3649</v>
      </c>
      <c r="D115" s="8">
        <v>1</v>
      </c>
      <c r="E115" s="9">
        <v>1855.42</v>
      </c>
      <c r="F115" s="8">
        <v>95</v>
      </c>
      <c r="G115" s="10"/>
      <c r="H115" s="9" t="str">
        <f>IF(G115="","",E115*G115)</f>
        <v/>
      </c>
      <c r="I115" s="11" t="str">
        <f>HYPERLINK("https://optomposuda.ru/product/kastryulya-7-0l-granit-mechta-f28sm","открыть")</f>
        <v>открыть</v>
      </c>
    </row>
    <row r="116" spans="1:9" x14ac:dyDescent="0.25">
      <c r="A116" t="s">
        <v>3858</v>
      </c>
      <c r="B116" t="s">
        <v>3859</v>
      </c>
      <c r="C116" t="s">
        <v>3649</v>
      </c>
      <c r="D116" s="8">
        <v>1</v>
      </c>
      <c r="E116" s="9">
        <v>1994.52</v>
      </c>
      <c r="F116" s="8">
        <v>61</v>
      </c>
      <c r="G116" s="10"/>
      <c r="H116" s="9" t="str">
        <f>IF(G116="","",E116*G116)</f>
        <v/>
      </c>
      <c r="I116" s="11" t="str">
        <f>HYPERLINK("https://optomposuda.ru/product/kastryulya-8-0l-granit-mechta-f30sm","открыть")</f>
        <v>открыть</v>
      </c>
    </row>
    <row r="117" spans="1:9" x14ac:dyDescent="0.25">
      <c r="A117" t="s">
        <v>3860</v>
      </c>
      <c r="B117" t="s">
        <v>3861</v>
      </c>
      <c r="C117" t="s">
        <v>3649</v>
      </c>
      <c r="D117" s="8">
        <v>6</v>
      </c>
      <c r="E117" s="9">
        <v>1509.78</v>
      </c>
      <c r="F117" s="8">
        <v>395</v>
      </c>
      <c r="G117" s="10"/>
      <c r="H117" s="9" t="str">
        <f>IF(G117="","",E117*G117)</f>
        <v/>
      </c>
      <c r="I117" s="11" t="str">
        <f>HYPERLINK("https://optomposuda.ru/product/kastryulya-alyuminievaya-1-2l-dariis-indukciya-s-kryshkoy-16-sm","открыть")</f>
        <v>открыть</v>
      </c>
    </row>
    <row r="118" spans="1:9" x14ac:dyDescent="0.25">
      <c r="A118" t="s">
        <v>3862</v>
      </c>
      <c r="B118" t="s">
        <v>3863</v>
      </c>
      <c r="C118" t="s">
        <v>3649</v>
      </c>
      <c r="D118" s="8">
        <v>6</v>
      </c>
      <c r="E118" s="9">
        <v>1772.69</v>
      </c>
      <c r="F118" s="8">
        <v>193</v>
      </c>
      <c r="G118" s="10"/>
      <c r="H118" s="9" t="str">
        <f>IF(G118="","",E118*G118)</f>
        <v/>
      </c>
      <c r="I118" s="11" t="str">
        <f>HYPERLINK("https://optomposuda.ru/product/kastryulya-alyuminievaya-2-4l-dariis-indukciya-s-kryshkoy-20-sm","открыть")</f>
        <v>открыть</v>
      </c>
    </row>
    <row r="119" spans="1:9" x14ac:dyDescent="0.25">
      <c r="A119" t="s">
        <v>3864</v>
      </c>
      <c r="B119" t="s">
        <v>3865</v>
      </c>
      <c r="C119" t="s">
        <v>3649</v>
      </c>
      <c r="D119" s="8">
        <v>4</v>
      </c>
      <c r="E119" s="9">
        <v>2177.02</v>
      </c>
      <c r="F119" s="8">
        <v>346</v>
      </c>
      <c r="G119" s="10"/>
      <c r="H119" s="9" t="str">
        <f>IF(G119="","",E119*G119)</f>
        <v/>
      </c>
      <c r="I119" s="11" t="str">
        <f>HYPERLINK("https://optomposuda.ru/product/kastryulya-alyuminievaya-3-0l-dariis-indukciya-s-kryshkoy-22-sm","открыть")</f>
        <v>открыть</v>
      </c>
    </row>
    <row r="120" spans="1:9" x14ac:dyDescent="0.25">
      <c r="A120" t="s">
        <v>3866</v>
      </c>
      <c r="B120" t="s">
        <v>3867</v>
      </c>
      <c r="C120" t="s">
        <v>3649</v>
      </c>
      <c r="D120" s="8">
        <v>6</v>
      </c>
      <c r="E120" s="9">
        <v>789.87</v>
      </c>
      <c r="F120" s="8">
        <v>165</v>
      </c>
      <c r="G120" s="10"/>
      <c r="H120" s="9" t="str">
        <f>IF(G120="","",E120*G120)</f>
        <v/>
      </c>
      <c r="I120" s="11" t="str">
        <f>HYPERLINK("https://optomposuda.ru/product/kastryulya-nerzhaveyuschaya-stal-dariis-bistro-1-0-l-14h8-steklyannaya-kryshkaa","открыть")</f>
        <v>открыть</v>
      </c>
    </row>
    <row r="121" spans="1:9" x14ac:dyDescent="0.25">
      <c r="A121" t="s">
        <v>3868</v>
      </c>
      <c r="B121" t="s">
        <v>3869</v>
      </c>
      <c r="C121" t="s">
        <v>3649</v>
      </c>
      <c r="D121" s="8">
        <v>6</v>
      </c>
      <c r="E121" s="9">
        <v>863.92</v>
      </c>
      <c r="F121" s="8">
        <v>4</v>
      </c>
      <c r="G121" s="10"/>
      <c r="H121" s="9" t="str">
        <f>IF(G121="","",E121*G121)</f>
        <v/>
      </c>
      <c r="I121" s="11" t="str">
        <f>HYPERLINK("https://optomposuda.ru/product/kastryulya-nerzhaveyuschaya-stal-dariis-bistro-1-4-l-16h8-steklyannaya-kryshkaa","открыть")</f>
        <v>открыть</v>
      </c>
    </row>
    <row r="122" spans="1:9" x14ac:dyDescent="0.25">
      <c r="A122" t="s">
        <v>3870</v>
      </c>
      <c r="B122" t="s">
        <v>3871</v>
      </c>
      <c r="C122" t="s">
        <v>3649</v>
      </c>
      <c r="D122" s="8">
        <v>6</v>
      </c>
      <c r="E122" s="9">
        <v>1580.54</v>
      </c>
      <c r="F122" s="8">
        <v>63</v>
      </c>
      <c r="G122" s="10"/>
      <c r="H122" s="9" t="str">
        <f>IF(G122="","",E122*G122)</f>
        <v/>
      </c>
      <c r="I122" s="11" t="str">
        <f>HYPERLINK("https://optomposuda.ru/product/kastryulya-nerzhaveyuschaya-stal-dariis-bistro-7-6l-26h16-steklyannaya-kryshkaa","открыть")</f>
        <v>открыть</v>
      </c>
    </row>
    <row r="123" spans="1:9" x14ac:dyDescent="0.25">
      <c r="A123" t="s">
        <v>3872</v>
      </c>
      <c r="B123" t="s">
        <v>3873</v>
      </c>
      <c r="C123" t="s">
        <v>3649</v>
      </c>
      <c r="D123" s="8">
        <v>4</v>
      </c>
      <c r="E123" s="9">
        <v>2629.18</v>
      </c>
      <c r="F123" s="8">
        <v>154</v>
      </c>
      <c r="G123" s="10"/>
      <c r="H123" s="9" t="str">
        <f>IF(G123="","",E123*G123)</f>
        <v/>
      </c>
      <c r="I123" s="11" t="str">
        <f>HYPERLINK("https://optomposuda.ru/product/kastryulya-nerzhaveyuschaya-stal-dariis-bistro-17-0l-34h20-s-steklyannaya-kryshkaa","открыть")</f>
        <v>открыть</v>
      </c>
    </row>
    <row r="124" spans="1:9" x14ac:dyDescent="0.25">
      <c r="A124" t="s">
        <v>3874</v>
      </c>
      <c r="B124" t="s">
        <v>3875</v>
      </c>
      <c r="C124" t="s">
        <v>3649</v>
      </c>
      <c r="D124" s="8">
        <v>4</v>
      </c>
      <c r="E124" s="9">
        <v>1275.38</v>
      </c>
      <c r="F124" s="8">
        <v>1</v>
      </c>
      <c r="G124" s="10"/>
      <c r="H124" s="9" t="str">
        <f>IF(G124="","",E124*G124)</f>
        <v/>
      </c>
      <c r="I124" s="11" t="str">
        <f>HYPERLINK("https://optomposuda.ru/product/kastryulya-nerzhaveyuschaya-stal-dariis-inar-2-5-l-c-kryshkoy-f18sm-2-sliva","открыть")</f>
        <v>открыть</v>
      </c>
    </row>
    <row r="125" spans="1:9" x14ac:dyDescent="0.25">
      <c r="A125" t="s">
        <v>3876</v>
      </c>
      <c r="B125" t="s">
        <v>3877</v>
      </c>
      <c r="C125" t="s">
        <v>3649</v>
      </c>
      <c r="D125" s="8">
        <v>4</v>
      </c>
      <c r="E125" s="9">
        <v>1383.92</v>
      </c>
      <c r="F125" s="8">
        <v>22</v>
      </c>
      <c r="G125" s="10"/>
      <c r="H125" s="9" t="str">
        <f>IF(G125="","",E125*G125)</f>
        <v/>
      </c>
      <c r="I125" s="11" t="str">
        <f>HYPERLINK("https://optomposuda.ru/product/kastryulya-nerzhaveyuschaya-stal-dariis-inar-3-1-l-c-kryshkoy-f20sm-2-sliva","открыть")</f>
        <v>открыть</v>
      </c>
    </row>
    <row r="126" spans="1:9" x14ac:dyDescent="0.25">
      <c r="A126" t="s">
        <v>3878</v>
      </c>
      <c r="B126" t="s">
        <v>3879</v>
      </c>
      <c r="C126" t="s">
        <v>3649</v>
      </c>
      <c r="D126" s="8">
        <v>4</v>
      </c>
      <c r="E126" s="9">
        <v>1573.88</v>
      </c>
      <c r="F126" s="8">
        <v>102</v>
      </c>
      <c r="G126" s="10"/>
      <c r="H126" s="9" t="str">
        <f>IF(G126="","",E126*G126)</f>
        <v/>
      </c>
      <c r="I126" s="11" t="str">
        <f>HYPERLINK("https://optomposuda.ru/product/kastryulya-nerzhaveyuschaya-stal-dariis-inar-3-7-l-c-kryshkoy-f22sm-2-sliva","открыть")</f>
        <v>открыть</v>
      </c>
    </row>
    <row r="127" spans="1:9" x14ac:dyDescent="0.25">
      <c r="A127" t="s">
        <v>3880</v>
      </c>
      <c r="B127" t="s">
        <v>3881</v>
      </c>
      <c r="C127" t="s">
        <v>3649</v>
      </c>
      <c r="D127" s="8">
        <v>4</v>
      </c>
      <c r="E127" s="9">
        <v>1565.52</v>
      </c>
      <c r="F127" s="8">
        <v>134</v>
      </c>
      <c r="G127" s="10"/>
      <c r="H127" s="9" t="str">
        <f>IF(G127="","",E127*G127)</f>
        <v/>
      </c>
      <c r="I127" s="11" t="str">
        <f>HYPERLINK("https://optomposuda.ru/product/kastryulya-nerzhaveyuschaya-stal-dariis-isilti-2-5-l-c-kryshkoy-f18sm-2-sliva","открыть")</f>
        <v>открыть</v>
      </c>
    </row>
    <row r="128" spans="1:9" x14ac:dyDescent="0.25">
      <c r="A128" t="s">
        <v>3882</v>
      </c>
      <c r="B128" t="s">
        <v>3883</v>
      </c>
      <c r="C128" t="s">
        <v>3649</v>
      </c>
      <c r="D128" s="8">
        <v>4</v>
      </c>
      <c r="E128" s="9">
        <v>1703.33</v>
      </c>
      <c r="F128" s="8">
        <v>209</v>
      </c>
      <c r="G128" s="10"/>
      <c r="H128" s="9" t="str">
        <f>IF(G128="","",E128*G128)</f>
        <v/>
      </c>
      <c r="I128" s="11" t="str">
        <f>HYPERLINK("https://optomposuda.ru/product/kastryulya-nerzhaveyuschaya-stal-dariis-isilti-3-1-l-c-kryshkoy-f20sm-2-sliva","открыть")</f>
        <v>открыть</v>
      </c>
    </row>
    <row r="129" spans="1:9" x14ac:dyDescent="0.25">
      <c r="A129" t="s">
        <v>3884</v>
      </c>
      <c r="B129" t="s">
        <v>3885</v>
      </c>
      <c r="C129" t="s">
        <v>3649</v>
      </c>
      <c r="D129" s="8">
        <v>4</v>
      </c>
      <c r="E129" s="9">
        <v>1917.57</v>
      </c>
      <c r="F129" s="8">
        <v>129</v>
      </c>
      <c r="G129" s="10"/>
      <c r="H129" s="9" t="str">
        <f>IF(G129="","",E129*G129)</f>
        <v/>
      </c>
      <c r="I129" s="11" t="str">
        <f>HYPERLINK("https://optomposuda.ru/product/kastryulya-nerzhaveyuschaya-stal-dariis-isilti-3-7-l-c-kryshkoy-f22sm-2-sliva","открыть")</f>
        <v>открыть</v>
      </c>
    </row>
    <row r="130" spans="1:9" x14ac:dyDescent="0.25">
      <c r="A130" t="s">
        <v>3886</v>
      </c>
      <c r="B130" t="s">
        <v>3887</v>
      </c>
      <c r="C130" t="s">
        <v>3649</v>
      </c>
      <c r="D130" s="8">
        <v>4</v>
      </c>
      <c r="E130" s="9">
        <v>1565.52</v>
      </c>
      <c r="F130" s="8">
        <v>224</v>
      </c>
      <c r="G130" s="10"/>
      <c r="H130" s="9" t="str">
        <f>IF(G130="","",E130*G130)</f>
        <v/>
      </c>
      <c r="I130" s="11" t="str">
        <f>HYPERLINK("https://optomposuda.ru/product/kastryulya-nerzhaveyuschaya-stal-dariis-note-2-5-l-c-kryshkoy-f18sm-2-sliva","открыть")</f>
        <v>открыть</v>
      </c>
    </row>
    <row r="131" spans="1:9" x14ac:dyDescent="0.25">
      <c r="A131" t="s">
        <v>3888</v>
      </c>
      <c r="B131" t="s">
        <v>3889</v>
      </c>
      <c r="C131" t="s">
        <v>3649</v>
      </c>
      <c r="D131" s="8">
        <v>4</v>
      </c>
      <c r="E131" s="9">
        <v>1703.33</v>
      </c>
      <c r="F131" s="8">
        <v>316</v>
      </c>
      <c r="G131" s="10"/>
      <c r="H131" s="9" t="str">
        <f>IF(G131="","",E131*G131)</f>
        <v/>
      </c>
      <c r="I131" s="11" t="str">
        <f>HYPERLINK("https://optomposuda.ru/product/kastryulya-nerzhaveyuschaya-stal-dariis-note-3-1-l-c-kryshkoy-f20sm-2-sliva","открыть")</f>
        <v>открыть</v>
      </c>
    </row>
    <row r="132" spans="1:9" x14ac:dyDescent="0.25">
      <c r="A132" t="s">
        <v>3890</v>
      </c>
      <c r="B132" t="s">
        <v>3891</v>
      </c>
      <c r="C132" t="s">
        <v>3649</v>
      </c>
      <c r="D132" s="8">
        <v>4</v>
      </c>
      <c r="E132" s="9">
        <v>1917.57</v>
      </c>
      <c r="F132" s="8">
        <v>404</v>
      </c>
      <c r="G132" s="10"/>
      <c r="H132" s="9" t="str">
        <f>IF(G132="","",E132*G132)</f>
        <v/>
      </c>
      <c r="I132" s="11" t="str">
        <f>HYPERLINK("https://optomposuda.ru/product/kastryulya-nerzhaveyuschaya-stal-dariis-note-3-7-l-c-kryshkoy-f22sm-2-sliva","открыть")</f>
        <v>открыть</v>
      </c>
    </row>
    <row r="133" spans="1:9" x14ac:dyDescent="0.25">
      <c r="A133" t="s">
        <v>3892</v>
      </c>
      <c r="B133" t="s">
        <v>3893</v>
      </c>
      <c r="C133" t="s">
        <v>3649</v>
      </c>
      <c r="D133" s="8">
        <v>4</v>
      </c>
      <c r="E133" s="9">
        <v>1383.92</v>
      </c>
      <c r="F133" s="8">
        <v>78</v>
      </c>
      <c r="G133" s="10"/>
      <c r="H133" s="9" t="str">
        <f>IF(G133="","",E133*G133)</f>
        <v/>
      </c>
      <c r="I133" s="11" t="str">
        <f>HYPERLINK("https://optomposuda.ru/product/kastryulya-nerzhaveyuschaya-stal-dariis-punto-3-1-l-c-kryshkoy-f20sm-2-sliva","открыть")</f>
        <v>открыть</v>
      </c>
    </row>
    <row r="134" spans="1:9" x14ac:dyDescent="0.25">
      <c r="A134" t="s">
        <v>3894</v>
      </c>
      <c r="B134" t="s">
        <v>3895</v>
      </c>
      <c r="C134" t="s">
        <v>3649</v>
      </c>
      <c r="D134" s="8">
        <v>4</v>
      </c>
      <c r="E134" s="9">
        <v>1573.88</v>
      </c>
      <c r="F134" s="8">
        <v>61</v>
      </c>
      <c r="G134" s="10"/>
      <c r="H134" s="9" t="str">
        <f>IF(G134="","",E134*G134)</f>
        <v/>
      </c>
      <c r="I134" s="11" t="str">
        <f>HYPERLINK("https://optomposuda.ru/product/kastryulya-nerzhaveyuschaya-stal-dariis-punto-3-7-l-c-kryshkoy-f22sm-2-sliva","открыть")</f>
        <v>открыть</v>
      </c>
    </row>
    <row r="135" spans="1:9" x14ac:dyDescent="0.25">
      <c r="A135" t="s">
        <v>3896</v>
      </c>
      <c r="B135" t="s">
        <v>3897</v>
      </c>
      <c r="C135" t="s">
        <v>3649</v>
      </c>
      <c r="D135" s="8">
        <v>6</v>
      </c>
      <c r="E135" s="9">
        <v>1349.4</v>
      </c>
      <c r="F135" s="8">
        <v>367</v>
      </c>
      <c r="G135" s="10"/>
      <c r="H135" s="9" t="str">
        <f>IF(G135="","",E135*G135)</f>
        <v/>
      </c>
      <c r="I135" s="11" t="str">
        <f>HYPERLINK("https://optomposuda.ru/product/kastryulya-nerzhaveyuschaya-stal1-3l-14h08-sm-dariis-senso-so-steklyannaya-kryshkaoy","открыть")</f>
        <v>открыть</v>
      </c>
    </row>
    <row r="136" spans="1:9" x14ac:dyDescent="0.25">
      <c r="A136" t="s">
        <v>3898</v>
      </c>
      <c r="B136" t="s">
        <v>3899</v>
      </c>
      <c r="C136" t="s">
        <v>3649</v>
      </c>
      <c r="D136" s="8">
        <v>6</v>
      </c>
      <c r="E136" s="9">
        <v>1496.94</v>
      </c>
      <c r="F136" s="8">
        <v>349</v>
      </c>
      <c r="G136" s="10"/>
      <c r="H136" s="9" t="str">
        <f>IF(G136="","",E136*G136)</f>
        <v/>
      </c>
      <c r="I136" s="11" t="str">
        <f>HYPERLINK("https://optomposuda.ru/product/kastryulya-nerzhaveyuschaya-stal1-6l-16h08-sm-dariis-senso-so-steklyannaya-kryshkaoy","открыть")</f>
        <v>открыть</v>
      </c>
    </row>
    <row r="137" spans="1:9" x14ac:dyDescent="0.25">
      <c r="A137" t="s">
        <v>3900</v>
      </c>
      <c r="B137" t="s">
        <v>3901</v>
      </c>
      <c r="C137" t="s">
        <v>3649</v>
      </c>
      <c r="D137" s="8">
        <v>3</v>
      </c>
      <c r="E137" s="9">
        <v>3110.83</v>
      </c>
      <c r="F137" s="8">
        <v>24</v>
      </c>
      <c r="G137" s="10"/>
      <c r="H137" s="9" t="str">
        <f>IF(G137="","",E137*G137)</f>
        <v/>
      </c>
      <c r="I137" s="11" t="str">
        <f>HYPERLINK("https://optomposuda.ru/product/kastryulya-nerzhaveyuschaya-stal12-0l-30x18-sm-dariis-senso-s-steklyannaya-kryshkaoy","открыть")</f>
        <v>открыть</v>
      </c>
    </row>
    <row r="138" spans="1:9" x14ac:dyDescent="0.25">
      <c r="A138" t="s">
        <v>3902</v>
      </c>
      <c r="B138" t="s">
        <v>3903</v>
      </c>
      <c r="C138" t="s">
        <v>3649</v>
      </c>
      <c r="D138" s="8">
        <v>6</v>
      </c>
      <c r="E138" s="9">
        <v>1674.01</v>
      </c>
      <c r="F138" s="8">
        <v>287</v>
      </c>
      <c r="G138" s="10"/>
      <c r="H138" s="9" t="str">
        <f>IF(G138="","",E138*G138)</f>
        <v/>
      </c>
      <c r="I138" s="11" t="str">
        <f>HYPERLINK("https://optomposuda.ru/product/kastryulya-nerzhaveyuschaya-stal2-5l-18x10-sm-dariis-senso-s-steklyannaya-kryshkaoy","открыть")</f>
        <v>открыть</v>
      </c>
    </row>
    <row r="139" spans="1:9" x14ac:dyDescent="0.25">
      <c r="A139" t="s">
        <v>3904</v>
      </c>
      <c r="B139" t="s">
        <v>3905</v>
      </c>
      <c r="C139" t="s">
        <v>3649</v>
      </c>
      <c r="D139" s="8">
        <v>4</v>
      </c>
      <c r="E139" s="9">
        <v>1716.31</v>
      </c>
      <c r="F139" s="8">
        <v>32</v>
      </c>
      <c r="G139" s="10"/>
      <c r="H139" s="9" t="str">
        <f>IF(G139="","",E139*G139)</f>
        <v/>
      </c>
      <c r="I139" s="11" t="str">
        <f>HYPERLINK("https://optomposuda.ru/product/kastryulya-nerzhaveyuschaya-stal3-1l-20x12-sm-dariis-neo-senso-s-steklyannaya-kryshkaoy","открыть")</f>
        <v>открыть</v>
      </c>
    </row>
    <row r="140" spans="1:9" x14ac:dyDescent="0.25">
      <c r="A140" t="s">
        <v>3906</v>
      </c>
      <c r="B140" t="s">
        <v>3907</v>
      </c>
      <c r="C140" t="s">
        <v>3649</v>
      </c>
      <c r="D140" s="8">
        <v>4</v>
      </c>
      <c r="E140" s="9">
        <v>1894</v>
      </c>
      <c r="F140" s="8">
        <v>289</v>
      </c>
      <c r="G140" s="10"/>
      <c r="H140" s="9" t="str">
        <f>IF(G140="","",E140*G140)</f>
        <v/>
      </c>
      <c r="I140" s="11" t="str">
        <f>HYPERLINK("https://optomposuda.ru/product/kastryulya-nerzhaveyuschaya-stal3-7l-20x12-sm-dariis-senso-s-steklyannaya-kryshkaoy","открыть")</f>
        <v>открыть</v>
      </c>
    </row>
    <row r="141" spans="1:9" x14ac:dyDescent="0.25">
      <c r="A141" t="s">
        <v>3908</v>
      </c>
      <c r="B141" t="s">
        <v>3909</v>
      </c>
      <c r="C141" t="s">
        <v>3649</v>
      </c>
      <c r="D141" s="8">
        <v>6</v>
      </c>
      <c r="E141" s="9">
        <v>2132.75</v>
      </c>
      <c r="F141" s="8">
        <v>332</v>
      </c>
      <c r="G141" s="10"/>
      <c r="H141" s="9" t="str">
        <f>IF(G141="","",E141*G141)</f>
        <v/>
      </c>
      <c r="I141" s="11" t="str">
        <f>HYPERLINK("https://optomposuda.ru/product/kastryulya-nerzhaveyuschaya-stal4-5l-22x12-sm-dariis-senso-s-steklyannaya-kryshkaoy","открыть")</f>
        <v>открыть</v>
      </c>
    </row>
    <row r="142" spans="1:9" x14ac:dyDescent="0.25">
      <c r="A142" t="s">
        <v>3910</v>
      </c>
      <c r="B142" t="s">
        <v>3911</v>
      </c>
      <c r="C142" t="s">
        <v>3649</v>
      </c>
      <c r="D142" s="8">
        <v>4</v>
      </c>
      <c r="E142" s="9">
        <v>2411.76</v>
      </c>
      <c r="F142" s="8">
        <v>749</v>
      </c>
      <c r="G142" s="10"/>
      <c r="H142" s="9" t="str">
        <f>IF(G142="","",E142*G142)</f>
        <v/>
      </c>
      <c r="I142" s="11" t="str">
        <f>HYPERLINK("https://optomposuda.ru/product/kastryulya-nerzhaveyuschaya-stal6-3l-24x14-sm-dariis-senso-s-steklyannaya-kryshkaoy","открыть")</f>
        <v>открыть</v>
      </c>
    </row>
    <row r="143" spans="1:9" x14ac:dyDescent="0.25">
      <c r="A143" t="s">
        <v>3912</v>
      </c>
      <c r="B143" t="s">
        <v>3913</v>
      </c>
      <c r="C143" t="s">
        <v>3649</v>
      </c>
      <c r="D143" s="8">
        <v>14</v>
      </c>
      <c r="E143" s="9">
        <v>946.95</v>
      </c>
      <c r="F143" s="8">
        <v>867</v>
      </c>
      <c r="G143" s="10"/>
      <c r="H143" s="9" t="str">
        <f>IF(G143="","",E143*G143)</f>
        <v/>
      </c>
      <c r="I143" s="11" t="str">
        <f>HYPERLINK("https://optomposuda.ru/product/kovsh-0-75l-granit-mechta-s-kryshkoy-f14sm","открыть")</f>
        <v>открыть</v>
      </c>
    </row>
    <row r="144" spans="1:9" x14ac:dyDescent="0.25">
      <c r="A144" t="s">
        <v>3914</v>
      </c>
      <c r="B144" t="s">
        <v>3915</v>
      </c>
      <c r="C144" t="s">
        <v>3649</v>
      </c>
      <c r="D144" s="8">
        <v>12</v>
      </c>
      <c r="E144" s="9">
        <v>1010.08</v>
      </c>
      <c r="F144" s="8">
        <v>1492</v>
      </c>
      <c r="G144" s="10"/>
      <c r="H144" s="9" t="str">
        <f>IF(G144="","",E144*G144)</f>
        <v/>
      </c>
      <c r="I144" s="11" t="str">
        <f>HYPERLINK("https://optomposuda.ru/product/kovsh-1-0l-granit-mechta-s-kryshkoy-f16","открыть")</f>
        <v>открыть</v>
      </c>
    </row>
    <row r="145" spans="1:9" x14ac:dyDescent="0.25">
      <c r="A145" t="s">
        <v>3916</v>
      </c>
      <c r="B145" t="s">
        <v>3917</v>
      </c>
      <c r="C145" t="s">
        <v>3649</v>
      </c>
      <c r="D145" s="8">
        <v>12</v>
      </c>
      <c r="E145" s="9">
        <v>1088.11</v>
      </c>
      <c r="F145" s="8">
        <v>55</v>
      </c>
      <c r="G145" s="10"/>
      <c r="H145" s="9" t="str">
        <f>IF(G145="","",E145*G145)</f>
        <v/>
      </c>
      <c r="I145" s="11" t="str">
        <f>HYPERLINK("https://optomposuda.ru/product/kovsh-1-5l-granit-braun-braun-s-kryshkoy-f16","открыть")</f>
        <v>открыть</v>
      </c>
    </row>
    <row r="146" spans="1:9" x14ac:dyDescent="0.25">
      <c r="A146" t="s">
        <v>3918</v>
      </c>
      <c r="B146" t="s">
        <v>3919</v>
      </c>
      <c r="C146" t="s">
        <v>3649</v>
      </c>
      <c r="D146" s="8">
        <v>12</v>
      </c>
      <c r="E146" s="9">
        <v>1059.3</v>
      </c>
      <c r="F146" s="8">
        <v>1166</v>
      </c>
      <c r="G146" s="10"/>
      <c r="H146" s="9" t="str">
        <f>IF(G146="","",E146*G146)</f>
        <v/>
      </c>
      <c r="I146" s="11" t="str">
        <f>HYPERLINK("https://optomposuda.ru/product/kovsh-1-5l-granit-mechta-s-kryshkoy-f18","открыть")</f>
        <v>открыть</v>
      </c>
    </row>
    <row r="147" spans="1:9" x14ac:dyDescent="0.25">
      <c r="A147" t="s">
        <v>3920</v>
      </c>
      <c r="B147" t="s">
        <v>3921</v>
      </c>
      <c r="C147" t="s">
        <v>3649</v>
      </c>
      <c r="D147" s="8">
        <v>8</v>
      </c>
      <c r="E147" s="9">
        <v>1088.21</v>
      </c>
      <c r="F147" s="8">
        <v>16</v>
      </c>
      <c r="G147" s="10"/>
      <c r="H147" s="9" t="str">
        <f>IF(G147="","",E147*G147)</f>
        <v/>
      </c>
      <c r="I147" s="11" t="str">
        <f>HYPERLINK("https://optomposuda.ru/product/kovsh-1-5l-mramor-s-kryshkoy-f16","открыть")</f>
        <v>открыть</v>
      </c>
    </row>
    <row r="148" spans="1:9" x14ac:dyDescent="0.25">
      <c r="A148" t="s">
        <v>3922</v>
      </c>
      <c r="B148" t="s">
        <v>3923</v>
      </c>
      <c r="C148" t="s">
        <v>3649</v>
      </c>
      <c r="D148" s="8">
        <v>9</v>
      </c>
      <c r="E148" s="9">
        <v>1187.05</v>
      </c>
      <c r="F148" s="8">
        <v>4</v>
      </c>
      <c r="G148" s="10"/>
      <c r="H148" s="9" t="str">
        <f>IF(G148="","",E148*G148)</f>
        <v/>
      </c>
      <c r="I148" s="11" t="str">
        <f>HYPERLINK("https://optomposuda.ru/product/kovsh-2-0l-granit-braun-braun-s-kryshkoy-f18","открыть")</f>
        <v>открыть</v>
      </c>
    </row>
    <row r="149" spans="1:9" x14ac:dyDescent="0.25">
      <c r="A149" t="s">
        <v>3924</v>
      </c>
      <c r="B149" t="s">
        <v>3925</v>
      </c>
      <c r="C149" t="s">
        <v>3649</v>
      </c>
      <c r="D149" s="8">
        <v>10</v>
      </c>
      <c r="E149" s="9">
        <v>1165.55</v>
      </c>
      <c r="F149" s="8">
        <v>1173</v>
      </c>
      <c r="G149" s="10"/>
      <c r="H149" s="9" t="str">
        <f>IF(G149="","",E149*G149)</f>
        <v/>
      </c>
      <c r="I149" s="11" t="str">
        <f>HYPERLINK("https://optomposuda.ru/product/kovsh-2-0l-granit-mechta-s-kryshkoy-f20","открыть")</f>
        <v>открыть</v>
      </c>
    </row>
    <row r="150" spans="1:9" x14ac:dyDescent="0.25">
      <c r="A150" t="s">
        <v>3926</v>
      </c>
      <c r="B150" t="s">
        <v>3927</v>
      </c>
      <c r="C150" t="s">
        <v>3649</v>
      </c>
      <c r="D150" s="8">
        <v>8</v>
      </c>
      <c r="E150" s="9">
        <v>1187.05</v>
      </c>
      <c r="F150" s="8">
        <v>47</v>
      </c>
      <c r="G150" s="10"/>
      <c r="H150" s="9" t="str">
        <f>IF(G150="","",E150*G150)</f>
        <v/>
      </c>
      <c r="I150" s="11" t="str">
        <f>HYPERLINK("https://optomposuda.ru/product/kovsh-2-0l-mramor-s-kryshkoy-f18","открыть")</f>
        <v>открыть</v>
      </c>
    </row>
    <row r="151" spans="1:9" x14ac:dyDescent="0.25">
      <c r="A151" t="s">
        <v>3928</v>
      </c>
      <c r="B151" t="s">
        <v>3929</v>
      </c>
      <c r="C151" t="s">
        <v>3649</v>
      </c>
      <c r="D151" s="8">
        <v>1</v>
      </c>
      <c r="E151" s="9">
        <v>919.8</v>
      </c>
      <c r="F151" s="8">
        <v>19</v>
      </c>
      <c r="G151" s="10"/>
      <c r="H151" s="9" t="str">
        <f>IF(G151="","",E151*G151)</f>
        <v/>
      </c>
      <c r="I151" s="11" t="str">
        <f>HYPERLINK("https://optomposuda.ru/product/kovsh-2l-dariis-kuhmister-f20-s-kryshkoy-art-rko-2","открыть")</f>
        <v>открыть</v>
      </c>
    </row>
    <row r="152" spans="1:9" x14ac:dyDescent="0.25">
      <c r="A152" t="s">
        <v>3930</v>
      </c>
      <c r="B152" t="s">
        <v>3931</v>
      </c>
      <c r="C152" t="s">
        <v>3649</v>
      </c>
      <c r="D152" s="8">
        <v>6</v>
      </c>
      <c r="E152" s="9">
        <v>870.08</v>
      </c>
      <c r="F152" s="8">
        <v>50</v>
      </c>
      <c r="G152" s="10"/>
      <c r="H152" s="9" t="str">
        <f>IF(G152="","",E152*G152)</f>
        <v/>
      </c>
      <c r="I152" s="11" t="str">
        <f>HYPERLINK("https://optomposuda.ru/product/kovsh-nerzhaveyuschaya-stal-dariis-bistro-1-7l-16h10-steklyannaya-kryshkaa","открыть")</f>
        <v>открыть</v>
      </c>
    </row>
    <row r="153" spans="1:9" x14ac:dyDescent="0.25">
      <c r="A153" t="s">
        <v>3932</v>
      </c>
      <c r="B153" t="s">
        <v>3933</v>
      </c>
      <c r="C153" t="s">
        <v>3649</v>
      </c>
      <c r="D153" s="8">
        <v>12</v>
      </c>
      <c r="E153" s="9">
        <v>220.69</v>
      </c>
      <c r="F153" s="8">
        <v>55</v>
      </c>
      <c r="G153" s="10"/>
      <c r="H153" s="9" t="str">
        <f>IF(G153="","",E153*G153)</f>
        <v/>
      </c>
      <c r="I153" s="11" t="str">
        <f>HYPERLINK("https://optomposuda.ru/product/kovsh-shtamp-14-sm-l-alyuminiy-s-protivoprig-pokr-bez-kryshki-dariis-ekonom-soty","открыть")</f>
        <v>открыть</v>
      </c>
    </row>
    <row r="154" spans="1:9" x14ac:dyDescent="0.25">
      <c r="A154" t="s">
        <v>3934</v>
      </c>
      <c r="B154" t="s">
        <v>3935</v>
      </c>
      <c r="C154" t="s">
        <v>3649</v>
      </c>
      <c r="D154" s="8">
        <v>12</v>
      </c>
      <c r="E154" s="9">
        <v>241.92</v>
      </c>
      <c r="F154" s="8">
        <v>187</v>
      </c>
      <c r="G154" s="10"/>
      <c r="H154" s="9" t="str">
        <f>IF(G154="","",E154*G154)</f>
        <v/>
      </c>
      <c r="I154" s="11" t="str">
        <f>HYPERLINK("https://optomposuda.ru/product/kovsh-shtamp-14-sm-0-8l-alyuminiy-s-protivoprig-pokr-bez-kryshki-dariis-ekonom","открыть")</f>
        <v>открыть</v>
      </c>
    </row>
    <row r="155" spans="1:9" x14ac:dyDescent="0.25">
      <c r="A155" t="s">
        <v>3936</v>
      </c>
      <c r="B155" t="s">
        <v>3937</v>
      </c>
      <c r="C155" t="s">
        <v>3649</v>
      </c>
      <c r="D155" s="8">
        <v>12</v>
      </c>
      <c r="E155" s="9">
        <v>296.64</v>
      </c>
      <c r="F155" s="8">
        <v>2</v>
      </c>
      <c r="G155" s="10"/>
      <c r="H155" s="9" t="str">
        <f>IF(G155="","",E155*G155)</f>
        <v/>
      </c>
      <c r="I155" s="11" t="str">
        <f>HYPERLINK("https://optomposuda.ru/product/kovsh-shtamp-16-sm-1-1l-alyuminiy-s-protivoprig-pokr-bez-kryshki-dariis-ekonom","открыть")</f>
        <v>открыть</v>
      </c>
    </row>
    <row r="156" spans="1:9" x14ac:dyDescent="0.25">
      <c r="A156" t="s">
        <v>3938</v>
      </c>
      <c r="B156" t="s">
        <v>3939</v>
      </c>
      <c r="C156" t="s">
        <v>3649</v>
      </c>
      <c r="D156" s="8">
        <v>10</v>
      </c>
      <c r="E156" s="9">
        <v>296.56</v>
      </c>
      <c r="F156" s="8">
        <v>45</v>
      </c>
      <c r="G156" s="10"/>
      <c r="H156" s="9" t="str">
        <f>IF(G156="","",E156*G156)</f>
        <v/>
      </c>
      <c r="I156" s="11" t="str">
        <f>HYPERLINK("https://optomposuda.ru/product/kovsh-shtamp-18-sm-l-alyuminiy-s-protivoprig-pokr-bez-kryshki-dariis-ekonom-soty","открыть")</f>
        <v>открыть</v>
      </c>
    </row>
    <row r="157" spans="1:9" x14ac:dyDescent="0.25">
      <c r="A157" t="s">
        <v>3940</v>
      </c>
      <c r="B157" t="s">
        <v>3941</v>
      </c>
      <c r="C157" t="s">
        <v>3649</v>
      </c>
      <c r="D157" s="8">
        <v>12</v>
      </c>
      <c r="E157" s="9">
        <v>327.6</v>
      </c>
      <c r="F157" s="8">
        <v>212</v>
      </c>
      <c r="G157" s="10"/>
      <c r="H157" s="9" t="str">
        <f>IF(G157="","",E157*G157)</f>
        <v/>
      </c>
      <c r="I157" s="11" t="str">
        <f>HYPERLINK("https://optomposuda.ru/product/kovsh-shtamp-18-sm-1-8l-alyuminiy-s-protivoprig-pokr-bez-kryshki-dariis-ekonom","открыть")</f>
        <v>открыть</v>
      </c>
    </row>
    <row r="158" spans="1:9" x14ac:dyDescent="0.25">
      <c r="A158" t="s">
        <v>3942</v>
      </c>
      <c r="B158" t="s">
        <v>3943</v>
      </c>
      <c r="C158" t="s">
        <v>3649</v>
      </c>
      <c r="D158" s="8">
        <v>12</v>
      </c>
      <c r="E158" s="9">
        <v>133.5</v>
      </c>
      <c r="F158" s="8">
        <v>716</v>
      </c>
      <c r="G158" s="10"/>
      <c r="H158" s="9" t="str">
        <f>IF(G158="","",E158*G158)</f>
        <v/>
      </c>
      <c r="I158" s="11" t="str">
        <f>HYPERLINK("https://optomposuda.ru/product/kryshka-zharoprochnaya-dariis-f-18","открыть")</f>
        <v>открыть</v>
      </c>
    </row>
    <row r="159" spans="1:9" x14ac:dyDescent="0.25">
      <c r="A159" t="s">
        <v>3944</v>
      </c>
      <c r="B159" t="s">
        <v>3945</v>
      </c>
      <c r="C159" t="s">
        <v>3649</v>
      </c>
      <c r="D159" s="8">
        <v>12</v>
      </c>
      <c r="E159" s="9">
        <v>267.5</v>
      </c>
      <c r="F159" s="8">
        <v>147</v>
      </c>
      <c r="G159" s="10"/>
      <c r="H159" s="9" t="str">
        <f>IF(G159="","",E159*G159)</f>
        <v/>
      </c>
      <c r="I159" s="11" t="str">
        <f>HYPERLINK("https://optomposuda.ru/product/kryshka-zharoprochnaya-dariis-f-26","открыть")</f>
        <v>открыть</v>
      </c>
    </row>
    <row r="160" spans="1:9" x14ac:dyDescent="0.25">
      <c r="A160" t="s">
        <v>3946</v>
      </c>
      <c r="B160" t="s">
        <v>3947</v>
      </c>
      <c r="C160" t="s">
        <v>3649</v>
      </c>
      <c r="D160" s="8">
        <v>12</v>
      </c>
      <c r="E160" s="9">
        <v>369.72</v>
      </c>
      <c r="F160" s="8">
        <v>85</v>
      </c>
      <c r="G160" s="10"/>
      <c r="H160" s="9" t="str">
        <f>IF(G160="","",E160*G160)</f>
        <v/>
      </c>
      <c r="I160" s="11" t="str">
        <f>HYPERLINK("https://optomposuda.ru/product/kryshka-zharoprochnaya-dariis-f-30","открыть")</f>
        <v>открыть</v>
      </c>
    </row>
    <row r="161" spans="1:9" x14ac:dyDescent="0.25">
      <c r="A161" t="s">
        <v>3948</v>
      </c>
      <c r="B161" t="s">
        <v>3949</v>
      </c>
      <c r="C161" t="s">
        <v>3649</v>
      </c>
      <c r="D161" s="8">
        <v>24</v>
      </c>
      <c r="E161" s="9">
        <v>304.34</v>
      </c>
      <c r="F161" s="8">
        <v>16</v>
      </c>
      <c r="G161" s="10"/>
      <c r="H161" s="9" t="str">
        <f>IF(G161="","",E161*G161)</f>
        <v/>
      </c>
      <c r="I161" s="11" t="str">
        <f>HYPERLINK("https://optomposuda.ru/product/kryshka-silikonovaya-nezakipayka-art-hs-l12b-d32sm-h29-5sm","открыть")</f>
        <v>открыть</v>
      </c>
    </row>
    <row r="162" spans="1:9" x14ac:dyDescent="0.25">
      <c r="A162" t="s">
        <v>3950</v>
      </c>
      <c r="B162" t="s">
        <v>3951</v>
      </c>
      <c r="C162" t="s">
        <v>3649</v>
      </c>
      <c r="D162" s="8">
        <v>34</v>
      </c>
      <c r="E162" s="9">
        <v>141.65</v>
      </c>
      <c r="F162" s="8">
        <v>459</v>
      </c>
      <c r="G162" s="10"/>
      <c r="H162" s="9" t="str">
        <f>IF(G162="","",E162*G162)</f>
        <v/>
      </c>
      <c r="I162" s="11" t="str">
        <f>HYPERLINK("https://optomposuda.ru/product/kryshka-steklyannaya-s-metal-obod-16-sm-niz","открыть")</f>
        <v>открыть</v>
      </c>
    </row>
    <row r="163" spans="1:9" x14ac:dyDescent="0.25">
      <c r="A163" t="s">
        <v>3952</v>
      </c>
      <c r="B163" t="s">
        <v>3953</v>
      </c>
      <c r="C163" t="s">
        <v>3649</v>
      </c>
      <c r="D163" s="8">
        <v>28</v>
      </c>
      <c r="E163" s="9">
        <v>165.63</v>
      </c>
      <c r="F163" s="8">
        <v>1</v>
      </c>
      <c r="G163" s="10"/>
      <c r="H163" s="9" t="str">
        <f>IF(G163="","",E163*G163)</f>
        <v/>
      </c>
      <c r="I163" s="11" t="str">
        <f>HYPERLINK("https://optomposuda.ru/product/kryshka-steklyannaya-s-metal-obod-20-sm-niz","открыть")</f>
        <v>открыть</v>
      </c>
    </row>
    <row r="164" spans="1:9" x14ac:dyDescent="0.25">
      <c r="A164" t="s">
        <v>3954</v>
      </c>
      <c r="B164" t="s">
        <v>3955</v>
      </c>
      <c r="C164" t="s">
        <v>3649</v>
      </c>
      <c r="D164" s="8">
        <v>14</v>
      </c>
      <c r="E164" s="9">
        <v>205.12</v>
      </c>
      <c r="F164" s="8">
        <v>24</v>
      </c>
      <c r="G164" s="10"/>
      <c r="H164" s="9" t="str">
        <f>IF(G164="","",E164*G164)</f>
        <v/>
      </c>
      <c r="I164" s="11" t="str">
        <f>HYPERLINK("https://optomposuda.ru/product/kryshka-steklyannaya-s-metal-obod-26-sm-niz","открыть")</f>
        <v>открыть</v>
      </c>
    </row>
    <row r="165" spans="1:9" x14ac:dyDescent="0.25">
      <c r="A165" t="s">
        <v>3956</v>
      </c>
      <c r="B165" t="s">
        <v>3957</v>
      </c>
      <c r="C165" t="s">
        <v>3649</v>
      </c>
      <c r="D165" s="8">
        <v>10</v>
      </c>
      <c r="E165" s="9">
        <v>1226.54</v>
      </c>
      <c r="F165" s="8">
        <v>31</v>
      </c>
      <c r="G165" s="10"/>
      <c r="H165" s="9" t="str">
        <f>IF(G165="","",E165*G165)</f>
        <v/>
      </c>
      <c r="I165" s="11" t="str">
        <f>HYPERLINK("https://optomposuda.ru/product/oladnica-24sm-serdechki-granit-mechta","открыть")</f>
        <v>открыть</v>
      </c>
    </row>
    <row r="166" spans="1:9" x14ac:dyDescent="0.25">
      <c r="A166" t="s">
        <v>3958</v>
      </c>
      <c r="B166" t="s">
        <v>3959</v>
      </c>
      <c r="C166" t="s">
        <v>3649</v>
      </c>
      <c r="D166" s="8">
        <v>13</v>
      </c>
      <c r="E166" s="9">
        <v>259.63</v>
      </c>
      <c r="F166" s="8">
        <v>292</v>
      </c>
      <c r="G166" s="10"/>
      <c r="H166" s="9" t="str">
        <f>IF(G166="","",E166*G166)</f>
        <v/>
      </c>
      <c r="I166" s="11" t="str">
        <f>HYPERLINK("https://optomposuda.ru/product/protiven-190h250-sm-shtampovannyy-vys-bort-dariis-ekonom","открыть")</f>
        <v>открыть</v>
      </c>
    </row>
    <row r="167" spans="1:9" x14ac:dyDescent="0.25">
      <c r="A167" t="s">
        <v>3960</v>
      </c>
      <c r="B167" t="s">
        <v>3961</v>
      </c>
      <c r="C167" t="s">
        <v>3649</v>
      </c>
      <c r="D167" s="8">
        <v>11</v>
      </c>
      <c r="E167" s="9">
        <v>354.53</v>
      </c>
      <c r="F167" s="8">
        <v>44</v>
      </c>
      <c r="G167" s="10"/>
      <c r="H167" s="9" t="str">
        <f>IF(G167="","",E167*G167)</f>
        <v/>
      </c>
      <c r="I167" s="11" t="str">
        <f>HYPERLINK("https://optomposuda.ru/product/protiven-250h300-sm-shtampovannyy-vys-bort-dariis-ekonom","открыть")</f>
        <v>открыть</v>
      </c>
    </row>
    <row r="168" spans="1:9" x14ac:dyDescent="0.25">
      <c r="A168" t="s">
        <v>3962</v>
      </c>
      <c r="B168" t="s">
        <v>3963</v>
      </c>
      <c r="C168" t="s">
        <v>3649</v>
      </c>
      <c r="D168" s="8">
        <v>5</v>
      </c>
      <c r="E168" s="9">
        <v>1594.32</v>
      </c>
      <c r="F168" s="8">
        <v>19</v>
      </c>
      <c r="G168" s="10"/>
      <c r="H168" s="9" t="str">
        <f>IF(G168="","",E168*G168)</f>
        <v/>
      </c>
      <c r="I168" s="11" t="str">
        <f>HYPERLINK("https://optomposuda.ru/product/protiven-utolschennyy-335h220-h55mm-mramor-dno-6mm-stenki-4-5mm","открыть")</f>
        <v>открыть</v>
      </c>
    </row>
    <row r="169" spans="1:9" x14ac:dyDescent="0.25">
      <c r="A169" t="s">
        <v>3964</v>
      </c>
      <c r="B169" t="s">
        <v>3965</v>
      </c>
      <c r="C169" t="s">
        <v>3649</v>
      </c>
      <c r="D169" s="8">
        <v>5</v>
      </c>
      <c r="E169" s="9">
        <v>1533</v>
      </c>
      <c r="F169" s="8">
        <v>60</v>
      </c>
      <c r="G169" s="10"/>
      <c r="H169" s="9" t="str">
        <f>IF(G169="","",E169*G169)</f>
        <v/>
      </c>
      <c r="I169" s="11" t="str">
        <f>HYPERLINK("https://optomposuda.ru/product/protiven-utolschennyy-335h220h55mm-braun-braun-dno-6mm-stenki-4-5mm","открыть")</f>
        <v>открыть</v>
      </c>
    </row>
    <row r="170" spans="1:9" x14ac:dyDescent="0.25">
      <c r="A170" t="s">
        <v>3966</v>
      </c>
      <c r="B170" t="s">
        <v>3967</v>
      </c>
      <c r="C170" t="s">
        <v>3649</v>
      </c>
      <c r="D170" s="8">
        <v>5</v>
      </c>
      <c r="E170" s="9">
        <v>1836</v>
      </c>
      <c r="F170" s="8">
        <v>46</v>
      </c>
      <c r="G170" s="10"/>
      <c r="H170" s="9" t="str">
        <f>IF(G170="","",E170*G170)</f>
        <v/>
      </c>
      <c r="I170" s="11" t="str">
        <f>HYPERLINK("https://optomposuda.ru/product/protiven-utolschennyy-365h260h55mm-braun-braun-dno-6mm-stenki-4-5mm-3-5l","открыть")</f>
        <v>открыть</v>
      </c>
    </row>
    <row r="171" spans="1:9" x14ac:dyDescent="0.25">
      <c r="A171" t="s">
        <v>3968</v>
      </c>
      <c r="B171" t="s">
        <v>3969</v>
      </c>
      <c r="C171" t="s">
        <v>3649</v>
      </c>
      <c r="D171" s="8">
        <v>5</v>
      </c>
      <c r="E171" s="9">
        <v>1909.44</v>
      </c>
      <c r="F171" s="8">
        <v>18</v>
      </c>
      <c r="G171" s="10"/>
      <c r="H171" s="9" t="str">
        <f>IF(G171="","",E171*G171)</f>
        <v/>
      </c>
      <c r="I171" s="11" t="str">
        <f>HYPERLINK("https://optomposuda.ru/product/protiven-utolschennyy-365h260h55mm-mramor-dno-6mm-stenki-4-5mm-3-5l","открыть")</f>
        <v>открыть</v>
      </c>
    </row>
    <row r="172" spans="1:9" x14ac:dyDescent="0.25">
      <c r="A172" t="s">
        <v>3970</v>
      </c>
      <c r="B172" t="s">
        <v>3971</v>
      </c>
      <c r="C172" t="s">
        <v>3649</v>
      </c>
      <c r="D172" s="8">
        <v>15</v>
      </c>
      <c r="E172" s="9">
        <v>346.03</v>
      </c>
      <c r="F172" s="8">
        <v>94</v>
      </c>
      <c r="G172" s="10"/>
      <c r="H172" s="9" t="str">
        <f>IF(G172="","",E172*G172)</f>
        <v/>
      </c>
      <c r="I172" s="11" t="str">
        <f>HYPERLINK("https://optomposuda.ru/product/skovoroda-22sm-shtampovannaya-dariis-ekonom-semnaya-ruchka","открыть")</f>
        <v>открыть</v>
      </c>
    </row>
    <row r="173" spans="1:9" x14ac:dyDescent="0.25">
      <c r="A173" t="s">
        <v>3972</v>
      </c>
      <c r="B173" t="s">
        <v>3973</v>
      </c>
      <c r="C173" t="s">
        <v>3649</v>
      </c>
      <c r="D173" s="8">
        <v>10</v>
      </c>
      <c r="E173" s="9">
        <v>379.73</v>
      </c>
      <c r="F173" s="8">
        <v>120</v>
      </c>
      <c r="G173" s="10"/>
      <c r="H173" s="9" t="str">
        <f>IF(G173="","",E173*G173)</f>
        <v/>
      </c>
      <c r="I173" s="11" t="str">
        <f>HYPERLINK("https://optomposuda.ru/product/skovoroda-24sm-shtampovannaya-dariis-ekonom-semnaya-ruchka","открыть")</f>
        <v>открыть</v>
      </c>
    </row>
    <row r="174" spans="1:9" x14ac:dyDescent="0.25">
      <c r="A174" t="s">
        <v>3974</v>
      </c>
      <c r="B174" t="s">
        <v>3975</v>
      </c>
      <c r="C174" t="s">
        <v>3649</v>
      </c>
      <c r="D174" s="8">
        <v>15</v>
      </c>
      <c r="E174" s="9">
        <v>460.8</v>
      </c>
      <c r="F174" s="8">
        <v>133</v>
      </c>
      <c r="G174" s="10"/>
      <c r="H174" s="9" t="str">
        <f>IF(G174="","",E174*G174)</f>
        <v/>
      </c>
      <c r="I174" s="11" t="str">
        <f>HYPERLINK("https://optomposuda.ru/product/skovoroda-26sm-shtampovannaya-dariis-ekonom-soty-semn-ruchka-sero-chernoe-vn-pokr","открыть")</f>
        <v>открыть</v>
      </c>
    </row>
    <row r="175" spans="1:9" x14ac:dyDescent="0.25">
      <c r="A175" t="s">
        <v>3976</v>
      </c>
      <c r="B175" t="s">
        <v>3977</v>
      </c>
      <c r="C175" t="s">
        <v>3649</v>
      </c>
      <c r="D175" s="8">
        <v>10</v>
      </c>
      <c r="E175" s="9">
        <v>412.42</v>
      </c>
      <c r="F175" s="8">
        <v>181</v>
      </c>
      <c r="G175" s="10"/>
      <c r="H175" s="9" t="str">
        <f>IF(G175="","",E175*G175)</f>
        <v/>
      </c>
      <c r="I175" s="11" t="str">
        <f>HYPERLINK("https://optomposuda.ru/product/skovoroda-26sm-shtampovannaya-dariis-ekonom-semnaya-ruchka","открыть")</f>
        <v>открыть</v>
      </c>
    </row>
    <row r="176" spans="1:9" x14ac:dyDescent="0.25">
      <c r="A176" t="s">
        <v>3978</v>
      </c>
      <c r="B176" t="s">
        <v>3979</v>
      </c>
      <c r="C176" t="s">
        <v>3649</v>
      </c>
      <c r="D176" s="8">
        <v>8</v>
      </c>
      <c r="E176" s="9">
        <v>409.11</v>
      </c>
      <c r="F176" s="8">
        <v>70</v>
      </c>
      <c r="G176" s="10"/>
      <c r="H176" s="9" t="str">
        <f>IF(G176="","",E176*G176)</f>
        <v/>
      </c>
      <c r="I176" s="11" t="str">
        <f>HYPERLINK("https://optomposuda.ru/product/skovoroda-28sm-shtampovannaya-dariis-ekonom-soty-n-ruchka-sero-chernoe-vneshnee-pokr","открыть")</f>
        <v>открыть</v>
      </c>
    </row>
    <row r="177" spans="1:9" x14ac:dyDescent="0.25">
      <c r="A177" t="s">
        <v>3980</v>
      </c>
      <c r="B177" t="s">
        <v>3981</v>
      </c>
      <c r="C177" t="s">
        <v>3649</v>
      </c>
      <c r="D177" s="8">
        <v>15</v>
      </c>
      <c r="E177" s="9">
        <v>496.8</v>
      </c>
      <c r="F177" s="8">
        <v>166</v>
      </c>
      <c r="G177" s="10"/>
      <c r="H177" s="9" t="str">
        <f>IF(G177="","",E177*G177)</f>
        <v/>
      </c>
      <c r="I177" s="11" t="str">
        <f>HYPERLINK("https://optomposuda.ru/product/skovoroda-28sm-shtampovannaya-dariis-ekonom-soty-semn-ruchka-sero-chernoe-vn-pokr","открыть")</f>
        <v>открыть</v>
      </c>
    </row>
    <row r="178" spans="1:9" x14ac:dyDescent="0.25">
      <c r="A178" t="s">
        <v>3982</v>
      </c>
      <c r="B178" t="s">
        <v>3983</v>
      </c>
      <c r="C178" t="s">
        <v>3649</v>
      </c>
      <c r="D178" s="8">
        <v>8</v>
      </c>
      <c r="E178" s="9">
        <v>364.32</v>
      </c>
      <c r="F178" s="8">
        <v>285</v>
      </c>
      <c r="G178" s="10"/>
      <c r="H178" s="9" t="str">
        <f>IF(G178="","",E178*G178)</f>
        <v/>
      </c>
      <c r="I178" s="11" t="str">
        <f>HYPERLINK("https://optomposuda.ru/product/skovoroda-28sm-shtampovannaya-dariis-ekonom-n-ruchka","открыть")</f>
        <v>открыть</v>
      </c>
    </row>
    <row r="179" spans="1:9" x14ac:dyDescent="0.25">
      <c r="A179" t="s">
        <v>3984</v>
      </c>
      <c r="B179" t="s">
        <v>3985</v>
      </c>
      <c r="C179" t="s">
        <v>3649</v>
      </c>
      <c r="D179" s="8">
        <v>8</v>
      </c>
      <c r="E179" s="9">
        <v>468.72</v>
      </c>
      <c r="F179" s="8">
        <v>124</v>
      </c>
      <c r="G179" s="10"/>
      <c r="H179" s="9" t="str">
        <f>IF(G179="","",E179*G179)</f>
        <v/>
      </c>
      <c r="I179" s="11" t="str">
        <f>HYPERLINK("https://optomposuda.ru/product/skovoroda-28sm-shtampovannaya-dariis-ekonom-semnaya-ruchka","открыть")</f>
        <v>открыть</v>
      </c>
    </row>
    <row r="180" spans="1:9" x14ac:dyDescent="0.25">
      <c r="A180" t="s">
        <v>3986</v>
      </c>
      <c r="B180" t="s">
        <v>3987</v>
      </c>
      <c r="C180" t="s">
        <v>3649</v>
      </c>
      <c r="D180" s="8">
        <v>10</v>
      </c>
      <c r="E180" s="9">
        <v>715.2</v>
      </c>
      <c r="F180" s="8">
        <v>772</v>
      </c>
      <c r="G180" s="10"/>
      <c r="H180" s="9" t="str">
        <f>IF(G180="","",E180*G180)</f>
        <v/>
      </c>
      <c r="I180" s="11" t="str">
        <f>HYPERLINK("https://optomposuda.ru/product/skovoroda-blinnaya-20sm-granit-mechta","открыть")</f>
        <v>открыть</v>
      </c>
    </row>
    <row r="181" spans="1:9" x14ac:dyDescent="0.25">
      <c r="A181" t="s">
        <v>3988</v>
      </c>
      <c r="B181" t="s">
        <v>3989</v>
      </c>
      <c r="C181" t="s">
        <v>3649</v>
      </c>
      <c r="D181" s="8">
        <v>10</v>
      </c>
      <c r="E181" s="9">
        <v>887.79</v>
      </c>
      <c r="F181" s="8">
        <v>246</v>
      </c>
      <c r="G181" s="10"/>
      <c r="H181" s="9" t="str">
        <f>IF(G181="","",E181*G181)</f>
        <v/>
      </c>
      <c r="I181" s="11" t="str">
        <f>HYPERLINK("https://optomposuda.ru/product/skovoroda-blinnaya-22sm-granit-braun-braun","открыть")</f>
        <v>открыть</v>
      </c>
    </row>
    <row r="182" spans="1:9" x14ac:dyDescent="0.25">
      <c r="A182" t="s">
        <v>3990</v>
      </c>
      <c r="B182" t="s">
        <v>3991</v>
      </c>
      <c r="C182" t="s">
        <v>3649</v>
      </c>
      <c r="D182" s="8">
        <v>8</v>
      </c>
      <c r="E182" s="9">
        <v>745</v>
      </c>
      <c r="F182" s="8">
        <v>1353</v>
      </c>
      <c r="G182" s="10"/>
      <c r="H182" s="9" t="str">
        <f>IF(G182="","",E182*G182)</f>
        <v/>
      </c>
      <c r="I182" s="11" t="str">
        <f>HYPERLINK("https://optomposuda.ru/product/skovoroda-blinnaya-22sm-granit-mechta","открыть")</f>
        <v>открыть</v>
      </c>
    </row>
    <row r="183" spans="1:9" x14ac:dyDescent="0.25">
      <c r="A183" t="s">
        <v>3992</v>
      </c>
      <c r="B183" t="s">
        <v>3993</v>
      </c>
      <c r="C183" t="s">
        <v>3649</v>
      </c>
      <c r="D183" s="8">
        <v>10</v>
      </c>
      <c r="E183" s="9">
        <v>887.79</v>
      </c>
      <c r="F183" s="8">
        <v>202</v>
      </c>
      <c r="G183" s="10"/>
      <c r="H183" s="9" t="str">
        <f>IF(G183="","",E183*G183)</f>
        <v/>
      </c>
      <c r="I183" s="11" t="str">
        <f>HYPERLINK("https://optomposuda.ru/product/skovoroda-blinnaya-22sm-mramor","открыть")</f>
        <v>открыть</v>
      </c>
    </row>
    <row r="184" spans="1:9" x14ac:dyDescent="0.25">
      <c r="A184" t="s">
        <v>3994</v>
      </c>
      <c r="B184" t="s">
        <v>3995</v>
      </c>
      <c r="C184" t="s">
        <v>3649</v>
      </c>
      <c r="D184" s="8">
        <v>10</v>
      </c>
      <c r="E184" s="9">
        <v>1076.4</v>
      </c>
      <c r="F184" s="8">
        <v>125</v>
      </c>
      <c r="G184" s="10"/>
      <c r="H184" s="9" t="str">
        <f>IF(G184="","",E184*G184)</f>
        <v/>
      </c>
      <c r="I184" s="11" t="str">
        <f>HYPERLINK("https://optomposuda.ru/product/skovoroda-blinnaya-24sm-granit-braun-braun","открыть")</f>
        <v>открыть</v>
      </c>
    </row>
    <row r="185" spans="1:9" x14ac:dyDescent="0.25">
      <c r="A185" t="s">
        <v>3996</v>
      </c>
      <c r="B185" t="s">
        <v>3997</v>
      </c>
      <c r="C185" t="s">
        <v>3649</v>
      </c>
      <c r="D185" s="8">
        <v>12</v>
      </c>
      <c r="E185" s="9">
        <v>903</v>
      </c>
      <c r="F185" s="8">
        <v>2176</v>
      </c>
      <c r="G185" s="10"/>
      <c r="H185" s="9" t="str">
        <f>IF(G185="","",E185*G185)</f>
        <v/>
      </c>
      <c r="I185" s="11" t="str">
        <f>HYPERLINK("https://optomposuda.ru/product/skovoroda-blinnaya-24sm-granit-mechta","открыть")</f>
        <v>открыть</v>
      </c>
    </row>
    <row r="186" spans="1:9" x14ac:dyDescent="0.25">
      <c r="A186" t="s">
        <v>3998</v>
      </c>
      <c r="B186" t="s">
        <v>3999</v>
      </c>
      <c r="C186" t="s">
        <v>3649</v>
      </c>
      <c r="D186" s="8">
        <v>7</v>
      </c>
      <c r="E186" s="9">
        <v>806.62</v>
      </c>
      <c r="F186" s="8">
        <v>1</v>
      </c>
      <c r="G186" s="10"/>
      <c r="H186" s="9" t="str">
        <f>IF(G186="","",E186*G186)</f>
        <v/>
      </c>
      <c r="I186" s="11" t="str">
        <f>HYPERLINK("https://optomposuda.ru/product/skovoroda-blinnaya-24sm-klassik-s-antiprigarnoe-pokrytie","открыть")</f>
        <v>открыть</v>
      </c>
    </row>
    <row r="187" spans="1:9" x14ac:dyDescent="0.25">
      <c r="A187" t="s">
        <v>4000</v>
      </c>
      <c r="B187" t="s">
        <v>4001</v>
      </c>
      <c r="C187" t="s">
        <v>3649</v>
      </c>
      <c r="D187" s="8">
        <v>10</v>
      </c>
      <c r="E187" s="9">
        <v>1076.4</v>
      </c>
      <c r="F187" s="8">
        <v>121</v>
      </c>
      <c r="G187" s="10"/>
      <c r="H187" s="9" t="str">
        <f>IF(G187="","",E187*G187)</f>
        <v/>
      </c>
      <c r="I187" s="11" t="str">
        <f>HYPERLINK("https://optomposuda.ru/product/skovoroda-blinnaya-24sm-mramor","открыть")</f>
        <v>открыть</v>
      </c>
    </row>
    <row r="188" spans="1:9" x14ac:dyDescent="0.25">
      <c r="A188" t="s">
        <v>4002</v>
      </c>
      <c r="B188" t="s">
        <v>4003</v>
      </c>
      <c r="C188" t="s">
        <v>3649</v>
      </c>
      <c r="D188" s="8">
        <v>16</v>
      </c>
      <c r="E188" s="9">
        <v>231.6</v>
      </c>
      <c r="F188" s="8">
        <v>86</v>
      </c>
      <c r="G188" s="10"/>
      <c r="H188" s="9" t="str">
        <f>IF(G188="","",E188*G188)</f>
        <v/>
      </c>
      <c r="I188" s="11" t="str">
        <f>HYPERLINK("https://optomposuda.ru/product/skovoroda-blinnaya-24sm-shtampovannaya-dariis-ekonom-soty-n-ruchka","открыть")</f>
        <v>открыть</v>
      </c>
    </row>
    <row r="189" spans="1:9" x14ac:dyDescent="0.25">
      <c r="A189" t="s">
        <v>4004</v>
      </c>
      <c r="B189" t="s">
        <v>4005</v>
      </c>
      <c r="C189" t="s">
        <v>3649</v>
      </c>
      <c r="D189" s="8">
        <v>16</v>
      </c>
      <c r="E189" s="9">
        <v>234.43</v>
      </c>
      <c r="F189" s="8">
        <v>294</v>
      </c>
      <c r="G189" s="10"/>
      <c r="H189" s="9" t="str">
        <f>IF(G189="","",E189*G189)</f>
        <v/>
      </c>
      <c r="I189" s="11" t="str">
        <f>HYPERLINK("https://optomposuda.ru/product/skovoroda-blinnaya-24sm-shtampovannaya-dariis-ekonom-n-ruchka","открыть")</f>
        <v>открыть</v>
      </c>
    </row>
    <row r="190" spans="1:9" x14ac:dyDescent="0.25">
      <c r="A190" t="s">
        <v>4006</v>
      </c>
      <c r="B190" t="s">
        <v>4007</v>
      </c>
      <c r="C190" t="s">
        <v>3649</v>
      </c>
      <c r="D190" s="8">
        <v>12</v>
      </c>
      <c r="E190" s="9">
        <v>942</v>
      </c>
      <c r="F190" s="8">
        <v>388</v>
      </c>
      <c r="G190" s="10"/>
      <c r="H190" s="9" t="str">
        <f>IF(G190="","",E190*G190)</f>
        <v/>
      </c>
      <c r="I190" s="11" t="str">
        <f>HYPERLINK("https://optomposuda.ru/product/skovoroda-blinnaya-26sm-granit-mechta","открыть")</f>
        <v>открыть</v>
      </c>
    </row>
    <row r="191" spans="1:9" x14ac:dyDescent="0.25">
      <c r="A191" t="s">
        <v>4008</v>
      </c>
      <c r="B191" t="s">
        <v>4009</v>
      </c>
      <c r="C191" t="s">
        <v>3649</v>
      </c>
      <c r="D191" s="8">
        <v>10</v>
      </c>
      <c r="E191" s="9">
        <v>821.01</v>
      </c>
      <c r="F191" s="8">
        <v>1</v>
      </c>
      <c r="G191" s="10"/>
      <c r="H191" s="9" t="str">
        <f>IF(G191="","",E191*G191)</f>
        <v/>
      </c>
      <c r="I191" s="11" t="str">
        <f>HYPERLINK("https://optomposuda.ru/product/skovoroda-blinnaya-26sm-klassik-s-antiprigarnoe-pokrytie","открыть")</f>
        <v>открыть</v>
      </c>
    </row>
    <row r="192" spans="1:9" x14ac:dyDescent="0.25">
      <c r="A192" t="s">
        <v>4010</v>
      </c>
      <c r="B192" t="s">
        <v>4011</v>
      </c>
      <c r="C192" t="s">
        <v>3649</v>
      </c>
      <c r="D192" s="8">
        <v>10</v>
      </c>
      <c r="E192" s="9">
        <v>1049.97</v>
      </c>
      <c r="F192" s="8">
        <v>388</v>
      </c>
      <c r="G192" s="10"/>
      <c r="H192" s="9" t="str">
        <f>IF(G192="","",E192*G192)</f>
        <v/>
      </c>
      <c r="I192" s="11" t="str">
        <f>HYPERLINK("https://optomposuda.ru/product/skovoroda-blinnaya-26sm-mramor","открыть")</f>
        <v>открыть</v>
      </c>
    </row>
    <row r="193" spans="1:9" x14ac:dyDescent="0.25">
      <c r="A193" t="s">
        <v>4012</v>
      </c>
      <c r="B193" t="s">
        <v>4013</v>
      </c>
      <c r="C193" t="s">
        <v>3649</v>
      </c>
      <c r="D193" s="8">
        <v>1</v>
      </c>
      <c r="E193" s="9">
        <v>1389.75</v>
      </c>
      <c r="F193" s="8">
        <v>180</v>
      </c>
      <c r="G193" s="10"/>
      <c r="H193" s="9" t="str">
        <f>IF(G193="","",E193*G193)</f>
        <v/>
      </c>
      <c r="I193" s="11" t="str">
        <f>HYPERLINK("https://optomposuda.ru/product/skovoroda-blinnaya-32sm-chudushnica","открыть")</f>
        <v>открыть</v>
      </c>
    </row>
    <row r="194" spans="1:9" x14ac:dyDescent="0.25">
      <c r="A194" t="s">
        <v>4014</v>
      </c>
      <c r="B194" t="s">
        <v>4015</v>
      </c>
      <c r="C194" t="s">
        <v>3649</v>
      </c>
      <c r="D194" s="8">
        <v>10</v>
      </c>
      <c r="E194" s="9">
        <v>690</v>
      </c>
      <c r="F194" s="8">
        <v>238</v>
      </c>
      <c r="G194" s="10"/>
      <c r="H194" s="9" t="str">
        <f>IF(G194="","",E194*G194)</f>
        <v/>
      </c>
      <c r="I194" s="11" t="str">
        <f>HYPERLINK("https://optomposuda.ru/product/skovoroda-glubokaya-18sm-granit-mechta-bez-kryshki","открыть")</f>
        <v>открыть</v>
      </c>
    </row>
    <row r="195" spans="1:9" x14ac:dyDescent="0.25">
      <c r="A195" t="s">
        <v>4016</v>
      </c>
      <c r="B195" t="s">
        <v>4017</v>
      </c>
      <c r="C195" t="s">
        <v>3649</v>
      </c>
      <c r="D195" s="8">
        <v>10</v>
      </c>
      <c r="E195" s="9">
        <v>988.7</v>
      </c>
      <c r="F195" s="8">
        <v>51</v>
      </c>
      <c r="G195" s="10"/>
      <c r="H195" s="9" t="str">
        <f>IF(G195="","",E195*G195)</f>
        <v/>
      </c>
      <c r="I195" s="11" t="str">
        <f>HYPERLINK("https://optomposuda.ru/product/skovoroda-glubokaya-20sm-granit-braun-braun-bez-kryshki","открыть")</f>
        <v>открыть</v>
      </c>
    </row>
    <row r="196" spans="1:9" x14ac:dyDescent="0.25">
      <c r="A196" t="s">
        <v>4018</v>
      </c>
      <c r="B196" t="s">
        <v>4019</v>
      </c>
      <c r="C196" t="s">
        <v>3649</v>
      </c>
      <c r="D196" s="8">
        <v>1</v>
      </c>
      <c r="E196" s="9">
        <v>738</v>
      </c>
      <c r="F196" s="8">
        <v>193</v>
      </c>
      <c r="G196" s="10"/>
      <c r="H196" s="9" t="str">
        <f>IF(G196="","",E196*G196)</f>
        <v/>
      </c>
      <c r="I196" s="11" t="str">
        <f>HYPERLINK("https://optomposuda.ru/product/skovoroda-glubokaya-20sm-granit-mechta-bez-kryshki","открыть")</f>
        <v>открыть</v>
      </c>
    </row>
    <row r="197" spans="1:9" x14ac:dyDescent="0.25">
      <c r="A197" t="s">
        <v>4020</v>
      </c>
      <c r="B197" t="s">
        <v>4021</v>
      </c>
      <c r="C197" t="s">
        <v>3649</v>
      </c>
      <c r="D197" s="8">
        <v>1</v>
      </c>
      <c r="E197" s="9">
        <v>823</v>
      </c>
      <c r="F197" s="8">
        <v>479</v>
      </c>
      <c r="G197" s="10"/>
      <c r="H197" s="9" t="str">
        <f>IF(G197="","",E197*G197)</f>
        <v/>
      </c>
      <c r="I197" s="11" t="str">
        <f>HYPERLINK("https://optomposuda.ru/product/skovoroda-glubokaya-20sm-granit-mechta-bez-kryshki-semnaya-ruchka","открыть")</f>
        <v>открыть</v>
      </c>
    </row>
    <row r="198" spans="1:9" x14ac:dyDescent="0.25">
      <c r="A198" t="s">
        <v>4022</v>
      </c>
      <c r="B198" t="s">
        <v>4023</v>
      </c>
      <c r="C198" t="s">
        <v>3649</v>
      </c>
      <c r="D198" s="8">
        <v>10</v>
      </c>
      <c r="E198" s="9">
        <v>855</v>
      </c>
      <c r="F198" s="8">
        <v>254</v>
      </c>
      <c r="G198" s="10"/>
      <c r="H198" s="9" t="str">
        <f>IF(G198="","",E198*G198)</f>
        <v/>
      </c>
      <c r="I198" s="11" t="str">
        <f>HYPERLINK("https://optomposuda.ru/product/skovoroda-glubokaya-20sm-granit-mechta-s-kryshkoy","открыть")</f>
        <v>открыть</v>
      </c>
    </row>
    <row r="199" spans="1:9" x14ac:dyDescent="0.25">
      <c r="A199" t="s">
        <v>4024</v>
      </c>
      <c r="B199" t="s">
        <v>4025</v>
      </c>
      <c r="C199" t="s">
        <v>3649</v>
      </c>
      <c r="D199" s="8">
        <v>8</v>
      </c>
      <c r="E199" s="9">
        <v>943</v>
      </c>
      <c r="F199" s="8">
        <v>730</v>
      </c>
      <c r="G199" s="10"/>
      <c r="H199" s="9" t="str">
        <f>IF(G199="","",E199*G199)</f>
        <v/>
      </c>
      <c r="I199" s="11" t="str">
        <f>HYPERLINK("https://optomposuda.ru/product/skovoroda-glubokaya-20sm-granit-mechta-s-kryshkoy-semnaya-ruchka","открыть")</f>
        <v>открыть</v>
      </c>
    </row>
    <row r="200" spans="1:9" x14ac:dyDescent="0.25">
      <c r="A200" t="s">
        <v>4026</v>
      </c>
      <c r="B200" t="s">
        <v>4027</v>
      </c>
      <c r="C200" t="s">
        <v>3649</v>
      </c>
      <c r="D200" s="8">
        <v>10</v>
      </c>
      <c r="E200" s="9">
        <v>1041.64</v>
      </c>
      <c r="F200" s="8">
        <v>108</v>
      </c>
      <c r="G200" s="10"/>
      <c r="H200" s="9" t="str">
        <f>IF(G200="","",E200*G200)</f>
        <v/>
      </c>
      <c r="I200" s="11" t="str">
        <f>HYPERLINK("https://optomposuda.ru/product/skovoroda-glubokaya-20sm-granit-semnaya-ruchka-braun-braun-bez-kryshki","открыть")</f>
        <v>открыть</v>
      </c>
    </row>
    <row r="201" spans="1:9" x14ac:dyDescent="0.25">
      <c r="A201" t="s">
        <v>4028</v>
      </c>
      <c r="B201" t="s">
        <v>4029</v>
      </c>
      <c r="C201" t="s">
        <v>3649</v>
      </c>
      <c r="D201" s="8">
        <v>20</v>
      </c>
      <c r="E201" s="9">
        <v>763.43</v>
      </c>
      <c r="F201" s="8">
        <v>189</v>
      </c>
      <c r="G201" s="10"/>
      <c r="H201" s="9" t="str">
        <f>IF(G201="","",E201*G201)</f>
        <v/>
      </c>
      <c r="I201" s="11" t="str">
        <f>HYPERLINK("https://optomposuda.ru/product/skovoroda-glubokaya-20sm-klassik-s-antiprigarnoe-pokrytie","открыть")</f>
        <v>открыть</v>
      </c>
    </row>
    <row r="202" spans="1:9" x14ac:dyDescent="0.25">
      <c r="A202" t="s">
        <v>4030</v>
      </c>
      <c r="B202" t="s">
        <v>4031</v>
      </c>
      <c r="C202" t="s">
        <v>3649</v>
      </c>
      <c r="D202" s="8">
        <v>10</v>
      </c>
      <c r="E202" s="9">
        <v>861.96</v>
      </c>
      <c r="F202" s="8">
        <v>185</v>
      </c>
      <c r="G202" s="10"/>
      <c r="H202" s="9" t="str">
        <f>IF(G202="","",E202*G202)</f>
        <v/>
      </c>
      <c r="I202" s="11" t="str">
        <f>HYPERLINK("https://optomposuda.ru/product/skovoroda-glubokaya-20sm-klassik-s-antiprigarnoe-pokrytie-semnaya-ruchka","открыть")</f>
        <v>открыть</v>
      </c>
    </row>
    <row r="203" spans="1:9" x14ac:dyDescent="0.25">
      <c r="A203" t="s">
        <v>4032</v>
      </c>
      <c r="B203" t="s">
        <v>4033</v>
      </c>
      <c r="C203" t="s">
        <v>3649</v>
      </c>
      <c r="D203" s="8">
        <v>10</v>
      </c>
      <c r="E203" s="9">
        <v>961.37</v>
      </c>
      <c r="F203" s="8">
        <v>98</v>
      </c>
      <c r="G203" s="10"/>
      <c r="H203" s="9" t="str">
        <f>IF(G203="","",E203*G203)</f>
        <v/>
      </c>
      <c r="I203" s="11" t="str">
        <f>HYPERLINK("https://optomposuda.ru/product/skovoroda-glubokaya-22sm-granit-braun-braun-bez-kryshki","открыть")</f>
        <v>открыть</v>
      </c>
    </row>
    <row r="204" spans="1:9" x14ac:dyDescent="0.25">
      <c r="A204" t="s">
        <v>4034</v>
      </c>
      <c r="B204" t="s">
        <v>4035</v>
      </c>
      <c r="C204" t="s">
        <v>3649</v>
      </c>
      <c r="D204" s="8">
        <v>1</v>
      </c>
      <c r="E204" s="9">
        <v>806</v>
      </c>
      <c r="F204" s="8">
        <v>498</v>
      </c>
      <c r="G204" s="10"/>
      <c r="H204" s="9" t="str">
        <f>IF(G204="","",E204*G204)</f>
        <v/>
      </c>
      <c r="I204" s="11" t="str">
        <f>HYPERLINK("https://optomposuda.ru/product/skovoroda-glubokaya-22sm-granit-mechta-bez-kryshki","открыть")</f>
        <v>открыть</v>
      </c>
    </row>
    <row r="205" spans="1:9" x14ac:dyDescent="0.25">
      <c r="A205" t="s">
        <v>4036</v>
      </c>
      <c r="B205" t="s">
        <v>4037</v>
      </c>
      <c r="C205" t="s">
        <v>3649</v>
      </c>
      <c r="D205" s="8">
        <v>1</v>
      </c>
      <c r="E205" s="9">
        <v>881</v>
      </c>
      <c r="F205" s="8">
        <v>399</v>
      </c>
      <c r="G205" s="10"/>
      <c r="H205" s="9" t="str">
        <f>IF(G205="","",E205*G205)</f>
        <v/>
      </c>
      <c r="I205" s="11" t="str">
        <f>HYPERLINK("https://optomposuda.ru/product/skovoroda-glubokaya-22sm-granit-mechta-bez-kryshki-semnaya-ruchka","открыть")</f>
        <v>открыть</v>
      </c>
    </row>
    <row r="206" spans="1:9" x14ac:dyDescent="0.25">
      <c r="A206" t="s">
        <v>4038</v>
      </c>
      <c r="B206" t="s">
        <v>4039</v>
      </c>
      <c r="C206" t="s">
        <v>3649</v>
      </c>
      <c r="D206" s="8">
        <v>8</v>
      </c>
      <c r="E206" s="9">
        <v>938</v>
      </c>
      <c r="F206" s="8">
        <v>428</v>
      </c>
      <c r="G206" s="10"/>
      <c r="H206" s="9" t="str">
        <f>IF(G206="","",E206*G206)</f>
        <v/>
      </c>
      <c r="I206" s="11" t="str">
        <f>HYPERLINK("https://optomposuda.ru/product/skovoroda-glubokaya-22sm-granit-mechta-s-kryshkoy","открыть")</f>
        <v>открыть</v>
      </c>
    </row>
    <row r="207" spans="1:9" x14ac:dyDescent="0.25">
      <c r="A207" t="s">
        <v>4040</v>
      </c>
      <c r="B207" t="s">
        <v>4041</v>
      </c>
      <c r="C207" t="s">
        <v>3649</v>
      </c>
      <c r="D207" s="8">
        <v>8</v>
      </c>
      <c r="E207" s="9">
        <v>1030</v>
      </c>
      <c r="F207" s="8">
        <v>368</v>
      </c>
      <c r="G207" s="10"/>
      <c r="H207" s="9" t="str">
        <f>IF(G207="","",E207*G207)</f>
        <v/>
      </c>
      <c r="I207" s="11" t="str">
        <f>HYPERLINK("https://optomposuda.ru/product/skovoroda-glubokaya-22sm-granit-mechta-s-kryshkoy-semnaya-ruchka","открыть")</f>
        <v>открыть</v>
      </c>
    </row>
    <row r="208" spans="1:9" x14ac:dyDescent="0.25">
      <c r="A208" t="s">
        <v>4042</v>
      </c>
      <c r="B208" t="s">
        <v>4043</v>
      </c>
      <c r="C208" t="s">
        <v>3649</v>
      </c>
      <c r="D208" s="8">
        <v>10</v>
      </c>
      <c r="E208" s="9">
        <v>1097.28</v>
      </c>
      <c r="F208" s="8">
        <v>124</v>
      </c>
      <c r="G208" s="10"/>
      <c r="H208" s="9" t="str">
        <f>IF(G208="","",E208*G208)</f>
        <v/>
      </c>
      <c r="I208" s="11" t="str">
        <f>HYPERLINK("https://optomposuda.ru/product/skovoroda-glubokaya-22sm-granit-semnaya-ruchka-braun-braun-bez-kryshki","открыть")</f>
        <v>открыть</v>
      </c>
    </row>
    <row r="209" spans="1:9" x14ac:dyDescent="0.25">
      <c r="A209" t="s">
        <v>4044</v>
      </c>
      <c r="B209" t="s">
        <v>4045</v>
      </c>
      <c r="C209" t="s">
        <v>3649</v>
      </c>
      <c r="D209" s="8">
        <v>10</v>
      </c>
      <c r="E209" s="9">
        <v>871.68</v>
      </c>
      <c r="F209" s="8">
        <v>251</v>
      </c>
      <c r="G209" s="10"/>
      <c r="H209" s="9" t="str">
        <f>IF(G209="","",E209*G209)</f>
        <v/>
      </c>
      <c r="I209" s="11" t="str">
        <f>HYPERLINK("https://optomposuda.ru/product/skovoroda-glubokaya-22sm-granit-gold-antiprigarnoe-pokrytie-ruchka-v-cvet","открыть")</f>
        <v>открыть</v>
      </c>
    </row>
    <row r="210" spans="1:9" x14ac:dyDescent="0.25">
      <c r="A210" t="s">
        <v>4046</v>
      </c>
      <c r="B210" t="s">
        <v>4047</v>
      </c>
      <c r="C210" t="s">
        <v>3649</v>
      </c>
      <c r="D210" s="8">
        <v>10</v>
      </c>
      <c r="E210" s="9">
        <v>960</v>
      </c>
      <c r="F210" s="8">
        <v>1</v>
      </c>
      <c r="G210" s="10"/>
      <c r="H210" s="9" t="str">
        <f>IF(G210="","",E210*G210)</f>
        <v/>
      </c>
      <c r="I210" s="11" t="str">
        <f>HYPERLINK("https://optomposuda.ru/product/skovoroda-glubokaya-22sm-granit-gold-antiprigarnoe-pokrytie-semnaya-ruchka-ruchka-v-cvet","открыть")</f>
        <v>открыть</v>
      </c>
    </row>
    <row r="211" spans="1:9" x14ac:dyDescent="0.25">
      <c r="A211" t="s">
        <v>4048</v>
      </c>
      <c r="B211" t="s">
        <v>4049</v>
      </c>
      <c r="C211" t="s">
        <v>3649</v>
      </c>
      <c r="D211" s="8">
        <v>16</v>
      </c>
      <c r="E211" s="9">
        <v>844.33</v>
      </c>
      <c r="F211" s="8">
        <v>171</v>
      </c>
      <c r="G211" s="10"/>
      <c r="H211" s="9" t="str">
        <f>IF(G211="","",E211*G211)</f>
        <v/>
      </c>
      <c r="I211" s="11" t="str">
        <f>HYPERLINK("https://optomposuda.ru/product/skovoroda-glubokaya-22sm-klassik-s-antiprigarnoe-pokrytie","открыть")</f>
        <v>открыть</v>
      </c>
    </row>
    <row r="212" spans="1:9" x14ac:dyDescent="0.25">
      <c r="A212" t="s">
        <v>4050</v>
      </c>
      <c r="B212" t="s">
        <v>4051</v>
      </c>
      <c r="C212" t="s">
        <v>3649</v>
      </c>
      <c r="D212" s="8">
        <v>10</v>
      </c>
      <c r="E212" s="9">
        <v>935.34</v>
      </c>
      <c r="F212" s="8">
        <v>216</v>
      </c>
      <c r="G212" s="10"/>
      <c r="H212" s="9" t="str">
        <f>IF(G212="","",E212*G212)</f>
        <v/>
      </c>
      <c r="I212" s="11" t="str">
        <f>HYPERLINK("https://optomposuda.ru/product/skovoroda-glubokaya-22sm-klassik-s-antiprigarnoe-pokrytie-semnaya-ruchka","открыть")</f>
        <v>открыть</v>
      </c>
    </row>
    <row r="213" spans="1:9" x14ac:dyDescent="0.25">
      <c r="A213" t="s">
        <v>4052</v>
      </c>
      <c r="B213" t="s">
        <v>4053</v>
      </c>
      <c r="C213" t="s">
        <v>3649</v>
      </c>
      <c r="D213" s="8">
        <v>10</v>
      </c>
      <c r="E213" s="9">
        <v>999.83</v>
      </c>
      <c r="F213" s="8">
        <v>17</v>
      </c>
      <c r="G213" s="10"/>
      <c r="H213" s="9" t="str">
        <f>IF(G213="","",E213*G213)</f>
        <v/>
      </c>
      <c r="I213" s="11" t="str">
        <f>HYPERLINK("https://optomposuda.ru/product/skovoroda-glubokaya-22sm-mramor-antiprigarnoe-pokrytie-bez-kryshki","открыть")</f>
        <v>открыть</v>
      </c>
    </row>
    <row r="214" spans="1:9" x14ac:dyDescent="0.25">
      <c r="A214" t="s">
        <v>4054</v>
      </c>
      <c r="B214" t="s">
        <v>4055</v>
      </c>
      <c r="C214" t="s">
        <v>3649</v>
      </c>
      <c r="D214" s="8">
        <v>10</v>
      </c>
      <c r="E214" s="9">
        <v>1097.28</v>
      </c>
      <c r="F214" s="8">
        <v>77</v>
      </c>
      <c r="G214" s="10"/>
      <c r="H214" s="9" t="str">
        <f>IF(G214="","",E214*G214)</f>
        <v/>
      </c>
      <c r="I214" s="11" t="str">
        <f>HYPERLINK("https://optomposuda.ru/product/skovoroda-glubokaya-22sm-mramor-antiprigarnoe-pokrytie-semnaya-ruch-bez-kryshki","открыть")</f>
        <v>открыть</v>
      </c>
    </row>
    <row r="215" spans="1:9" x14ac:dyDescent="0.25">
      <c r="A215" t="s">
        <v>4056</v>
      </c>
      <c r="B215" t="s">
        <v>4057</v>
      </c>
      <c r="C215" t="s">
        <v>3649</v>
      </c>
      <c r="D215" s="8">
        <v>6</v>
      </c>
      <c r="E215" s="9">
        <v>1582.07</v>
      </c>
      <c r="F215" s="8">
        <v>3</v>
      </c>
      <c r="G215" s="10"/>
      <c r="H215" s="9" t="str">
        <f>IF(G215="","",E215*G215)</f>
        <v/>
      </c>
      <c r="I215" s="11" t="str">
        <f>HYPERLINK("https://optomposuda.ru/product/skovoroda-glubokaya-24-sm-dariis-indukciya-bez-kryshki-semnaya-ruchka","открыть")</f>
        <v>открыть</v>
      </c>
    </row>
    <row r="216" spans="1:9" x14ac:dyDescent="0.25">
      <c r="A216" t="s">
        <v>4058</v>
      </c>
      <c r="B216" t="s">
        <v>4059</v>
      </c>
      <c r="C216" t="s">
        <v>3649</v>
      </c>
      <c r="D216" s="8">
        <v>10</v>
      </c>
      <c r="E216" s="9">
        <v>1114.58</v>
      </c>
      <c r="F216" s="8">
        <v>99</v>
      </c>
      <c r="G216" s="10"/>
      <c r="H216" s="9" t="str">
        <f>IF(G216="","",E216*G216)</f>
        <v/>
      </c>
      <c r="I216" s="11" t="str">
        <f>HYPERLINK("https://optomposuda.ru/product/skovoroda-glubokaya-24sm-granit-braun-braun-bez-kryshki","открыть")</f>
        <v>открыть</v>
      </c>
    </row>
    <row r="217" spans="1:9" x14ac:dyDescent="0.25">
      <c r="A217" t="s">
        <v>4060</v>
      </c>
      <c r="B217" t="s">
        <v>4061</v>
      </c>
      <c r="C217" t="s">
        <v>3649</v>
      </c>
      <c r="D217" s="8">
        <v>1</v>
      </c>
      <c r="E217" s="9">
        <v>909</v>
      </c>
      <c r="F217" s="8">
        <v>506</v>
      </c>
      <c r="G217" s="10"/>
      <c r="H217" s="9" t="str">
        <f>IF(G217="","",E217*G217)</f>
        <v/>
      </c>
      <c r="I217" s="11" t="str">
        <f>HYPERLINK("https://optomposuda.ru/product/skovoroda-glubokaya-24sm-granit-mechta-bez-kryshki","открыть")</f>
        <v>открыть</v>
      </c>
    </row>
    <row r="218" spans="1:9" x14ac:dyDescent="0.25">
      <c r="A218" t="s">
        <v>4062</v>
      </c>
      <c r="B218" t="s">
        <v>4063</v>
      </c>
      <c r="C218" t="s">
        <v>3649</v>
      </c>
      <c r="D218" s="8">
        <v>1</v>
      </c>
      <c r="E218" s="9">
        <v>986</v>
      </c>
      <c r="F218" s="8">
        <v>1061</v>
      </c>
      <c r="G218" s="10"/>
      <c r="H218" s="9" t="str">
        <f>IF(G218="","",E218*G218)</f>
        <v/>
      </c>
      <c r="I218" s="11" t="str">
        <f>HYPERLINK("https://optomposuda.ru/product/skovoroda-glubokaya-24sm-granit-mechta-bez-kryshki-semnaya-ruchka","открыть")</f>
        <v>открыть</v>
      </c>
    </row>
    <row r="219" spans="1:9" x14ac:dyDescent="0.25">
      <c r="A219" t="s">
        <v>4064</v>
      </c>
      <c r="B219" t="s">
        <v>4065</v>
      </c>
      <c r="C219" t="s">
        <v>3649</v>
      </c>
      <c r="D219" s="8">
        <v>10</v>
      </c>
      <c r="E219" s="9">
        <v>1051</v>
      </c>
      <c r="F219" s="8">
        <v>997</v>
      </c>
      <c r="G219" s="10"/>
      <c r="H219" s="9" t="str">
        <f>IF(G219="","",E219*G219)</f>
        <v/>
      </c>
      <c r="I219" s="11" t="str">
        <f>HYPERLINK("https://optomposuda.ru/product/skovoroda-glubokaya-24sm-granit-mechta-s-kryshkoy","открыть")</f>
        <v>открыть</v>
      </c>
    </row>
    <row r="220" spans="1:9" x14ac:dyDescent="0.25">
      <c r="A220" t="s">
        <v>4066</v>
      </c>
      <c r="B220" t="s">
        <v>4067</v>
      </c>
      <c r="C220" t="s">
        <v>3649</v>
      </c>
      <c r="D220" s="8">
        <v>1</v>
      </c>
      <c r="E220" s="9">
        <v>1153</v>
      </c>
      <c r="F220" s="8">
        <v>1077</v>
      </c>
      <c r="G220" s="10"/>
      <c r="H220" s="9" t="str">
        <f>IF(G220="","",E220*G220)</f>
        <v/>
      </c>
      <c r="I220" s="11" t="str">
        <f>HYPERLINK("https://optomposuda.ru/product/skovoroda-glubokaya-24sm-granit-mechta-s-kryshkoy-semnaya-ruchka","открыть")</f>
        <v>открыть</v>
      </c>
    </row>
    <row r="221" spans="1:9" x14ac:dyDescent="0.25">
      <c r="A221" t="s">
        <v>4068</v>
      </c>
      <c r="B221" t="s">
        <v>4069</v>
      </c>
      <c r="C221" t="s">
        <v>3649</v>
      </c>
      <c r="D221" s="8">
        <v>10</v>
      </c>
      <c r="E221" s="9">
        <v>1204.82</v>
      </c>
      <c r="F221" s="8">
        <v>254</v>
      </c>
      <c r="G221" s="10"/>
      <c r="H221" s="9" t="str">
        <f>IF(G221="","",E221*G221)</f>
        <v/>
      </c>
      <c r="I221" s="11" t="str">
        <f>HYPERLINK("https://optomposuda.ru/product/skovoroda-glubokaya-24sm-granit-semnaya-ruchka-braun-braun-bez-kryshki","открыть")</f>
        <v>открыть</v>
      </c>
    </row>
    <row r="222" spans="1:9" x14ac:dyDescent="0.25">
      <c r="A222" t="s">
        <v>4070</v>
      </c>
      <c r="B222" t="s">
        <v>4071</v>
      </c>
      <c r="C222" t="s">
        <v>3649</v>
      </c>
      <c r="D222" s="8">
        <v>10</v>
      </c>
      <c r="E222" s="9">
        <v>954.56</v>
      </c>
      <c r="F222" s="8">
        <v>505</v>
      </c>
      <c r="G222" s="10"/>
      <c r="H222" s="9" t="str">
        <f>IF(G222="","",E222*G222)</f>
        <v/>
      </c>
      <c r="I222" s="11" t="str">
        <f>HYPERLINK("https://optomposuda.ru/product/skovoroda-glubokaya-24sm-granit-gold-antiprigarnoe-pokrytie-ruchka-v-cvet","открыть")</f>
        <v>открыть</v>
      </c>
    </row>
    <row r="223" spans="1:9" x14ac:dyDescent="0.25">
      <c r="A223" t="s">
        <v>4072</v>
      </c>
      <c r="B223" t="s">
        <v>4073</v>
      </c>
      <c r="C223" t="s">
        <v>3649</v>
      </c>
      <c r="D223" s="8">
        <v>1</v>
      </c>
      <c r="E223" s="9">
        <v>1031.17</v>
      </c>
      <c r="F223" s="8">
        <v>142</v>
      </c>
      <c r="G223" s="10"/>
      <c r="H223" s="9" t="str">
        <f>IF(G223="","",E223*G223)</f>
        <v/>
      </c>
      <c r="I223" s="11" t="str">
        <f>HYPERLINK("https://optomposuda.ru/product/skovoroda-glubokaya-24sm-granit-gold-antiprigarnoe-pokrytie-semnaya-ruchka-ruchka-v-cvet-1","открыть")</f>
        <v>открыть</v>
      </c>
    </row>
    <row r="224" spans="1:9" x14ac:dyDescent="0.25">
      <c r="A224" t="s">
        <v>4074</v>
      </c>
      <c r="B224" t="s">
        <v>4075</v>
      </c>
      <c r="C224" t="s">
        <v>3649</v>
      </c>
      <c r="D224" s="8">
        <v>14</v>
      </c>
      <c r="E224" s="9">
        <v>977.43</v>
      </c>
      <c r="F224" s="8">
        <v>137</v>
      </c>
      <c r="G224" s="10"/>
      <c r="H224" s="9" t="str">
        <f>IF(G224="","",E224*G224)</f>
        <v/>
      </c>
      <c r="I224" s="11" t="str">
        <f>HYPERLINK("https://optomposuda.ru/product/skovoroda-glubokaya-24sm-klassik-s-antiprigarnoe-pokrytie","открыть")</f>
        <v>открыть</v>
      </c>
    </row>
    <row r="225" spans="1:9" x14ac:dyDescent="0.25">
      <c r="A225" t="s">
        <v>4076</v>
      </c>
      <c r="B225" t="s">
        <v>4077</v>
      </c>
      <c r="C225" t="s">
        <v>3649</v>
      </c>
      <c r="D225" s="8">
        <v>10</v>
      </c>
      <c r="E225" s="9">
        <v>1045.7</v>
      </c>
      <c r="F225" s="8">
        <v>13</v>
      </c>
      <c r="G225" s="10"/>
      <c r="H225" s="9" t="str">
        <f>IF(G225="","",E225*G225)</f>
        <v/>
      </c>
      <c r="I225" s="11" t="str">
        <f>HYPERLINK("https://optomposuda.ru/product/skovoroda-glubokaya-24sm-klassik-s-antiprigarnoe-pokrytie-semnaya-ruchka","открыть")</f>
        <v>открыть</v>
      </c>
    </row>
    <row r="226" spans="1:9" x14ac:dyDescent="0.25">
      <c r="A226" t="s">
        <v>4078</v>
      </c>
      <c r="B226" t="s">
        <v>4079</v>
      </c>
      <c r="C226" t="s">
        <v>3649</v>
      </c>
      <c r="D226" s="8">
        <v>10</v>
      </c>
      <c r="E226" s="9">
        <v>1204.82</v>
      </c>
      <c r="F226" s="8">
        <v>22</v>
      </c>
      <c r="G226" s="10"/>
      <c r="H226" s="9" t="str">
        <f>IF(G226="","",E226*G226)</f>
        <v/>
      </c>
      <c r="I226" s="11" t="str">
        <f>HYPERLINK("https://optomposuda.ru/product/skovoroda-glubokaya-24sm-mramor-antiprigarnoe-pokrytie-semnaya-ruch-bez-kryshki","открыть")</f>
        <v>открыть</v>
      </c>
    </row>
    <row r="227" spans="1:9" x14ac:dyDescent="0.25">
      <c r="A227" t="s">
        <v>4080</v>
      </c>
      <c r="B227" t="s">
        <v>4081</v>
      </c>
      <c r="C227" t="s">
        <v>3649</v>
      </c>
      <c r="D227" s="8">
        <v>6</v>
      </c>
      <c r="E227" s="9">
        <v>1774.53</v>
      </c>
      <c r="F227" s="8">
        <v>386</v>
      </c>
      <c r="G227" s="10"/>
      <c r="H227" s="9" t="str">
        <f>IF(G227="","",E227*G227)</f>
        <v/>
      </c>
      <c r="I227" s="11" t="str">
        <f>HYPERLINK("https://optomposuda.ru/product/skovoroda-glubokaya-26-sm-dariis-indukciya-bez-kryshki-semnaya-ruchka","открыть")</f>
        <v>открыть</v>
      </c>
    </row>
    <row r="228" spans="1:9" x14ac:dyDescent="0.25">
      <c r="A228" t="s">
        <v>4082</v>
      </c>
      <c r="B228" t="s">
        <v>4083</v>
      </c>
      <c r="C228" t="s">
        <v>3649</v>
      </c>
      <c r="D228" s="8">
        <v>10</v>
      </c>
      <c r="E228" s="9">
        <v>1215.24</v>
      </c>
      <c r="F228" s="8">
        <v>139</v>
      </c>
      <c r="G228" s="10"/>
      <c r="H228" s="9" t="str">
        <f>IF(G228="","",E228*G228)</f>
        <v/>
      </c>
      <c r="I228" s="11" t="str">
        <f>HYPERLINK("https://optomposuda.ru/product/skovoroda-glubokaya-26sm-granit-braun-braun-bez-kryshki","открыть")</f>
        <v>открыть</v>
      </c>
    </row>
    <row r="229" spans="1:9" x14ac:dyDescent="0.25">
      <c r="A229" t="s">
        <v>4084</v>
      </c>
      <c r="B229" t="s">
        <v>4085</v>
      </c>
      <c r="C229" t="s">
        <v>3649</v>
      </c>
      <c r="D229" s="8">
        <v>1</v>
      </c>
      <c r="E229" s="9">
        <v>997</v>
      </c>
      <c r="F229" s="8">
        <v>168</v>
      </c>
      <c r="G229" s="10"/>
      <c r="H229" s="9" t="str">
        <f>IF(G229="","",E229*G229)</f>
        <v/>
      </c>
      <c r="I229" s="11" t="str">
        <f>HYPERLINK("https://optomposuda.ru/product/skovoroda-glubokaya-26sm-granit-mechta-bez-kryshki","открыть")</f>
        <v>открыть</v>
      </c>
    </row>
    <row r="230" spans="1:9" x14ac:dyDescent="0.25">
      <c r="A230" t="s">
        <v>4086</v>
      </c>
      <c r="B230" t="s">
        <v>4087</v>
      </c>
      <c r="C230" t="s">
        <v>3649</v>
      </c>
      <c r="D230" s="8">
        <v>1</v>
      </c>
      <c r="E230" s="9">
        <v>1080</v>
      </c>
      <c r="F230" s="8">
        <v>390</v>
      </c>
      <c r="G230" s="10"/>
      <c r="H230" s="9" t="str">
        <f>IF(G230="","",E230*G230)</f>
        <v/>
      </c>
      <c r="I230" s="11" t="str">
        <f>HYPERLINK("https://optomposuda.ru/product/skovoroda-glubokaya-26sm-granit-mechta-bez-kryshki-semnaya-ruchka","открыть")</f>
        <v>открыть</v>
      </c>
    </row>
    <row r="231" spans="1:9" x14ac:dyDescent="0.25">
      <c r="A231" t="s">
        <v>4088</v>
      </c>
      <c r="B231" t="s">
        <v>4089</v>
      </c>
      <c r="C231" t="s">
        <v>3649</v>
      </c>
      <c r="D231" s="8">
        <v>10</v>
      </c>
      <c r="E231" s="9">
        <v>1144</v>
      </c>
      <c r="F231" s="8">
        <v>632</v>
      </c>
      <c r="G231" s="10"/>
      <c r="H231" s="9" t="str">
        <f>IF(G231="","",E231*G231)</f>
        <v/>
      </c>
      <c r="I231" s="11" t="str">
        <f>HYPERLINK("https://optomposuda.ru/product/skovoroda-glubokaya-26sm-granit-mechta-s-kryshkoy","открыть")</f>
        <v>открыть</v>
      </c>
    </row>
    <row r="232" spans="1:9" x14ac:dyDescent="0.25">
      <c r="A232" t="s">
        <v>4090</v>
      </c>
      <c r="B232" t="s">
        <v>4091</v>
      </c>
      <c r="C232" t="s">
        <v>3649</v>
      </c>
      <c r="D232" s="8">
        <v>8</v>
      </c>
      <c r="E232" s="9">
        <v>1242</v>
      </c>
      <c r="F232" s="8">
        <v>363</v>
      </c>
      <c r="G232" s="10"/>
      <c r="H232" s="9" t="str">
        <f>IF(G232="","",E232*G232)</f>
        <v/>
      </c>
      <c r="I232" s="11" t="str">
        <f>HYPERLINK("https://optomposuda.ru/product/skovoroda-glubokaya-26sm-granit-mechta-s-kryshkoy-semnaya-ruchka","открыть")</f>
        <v>открыть</v>
      </c>
    </row>
    <row r="233" spans="1:9" x14ac:dyDescent="0.25">
      <c r="A233" t="s">
        <v>4092</v>
      </c>
      <c r="B233" t="s">
        <v>4093</v>
      </c>
      <c r="C233" t="s">
        <v>3649</v>
      </c>
      <c r="D233" s="8">
        <v>10</v>
      </c>
      <c r="E233" s="9">
        <v>1305.48</v>
      </c>
      <c r="F233" s="8">
        <v>209</v>
      </c>
      <c r="G233" s="10"/>
      <c r="H233" s="9" t="str">
        <f>IF(G233="","",E233*G233)</f>
        <v/>
      </c>
      <c r="I233" s="11" t="str">
        <f>HYPERLINK("https://optomposuda.ru/product/skovoroda-glubokaya-26sm-granit-semnaya-ruchka-braun-braun-bez-kryshki","открыть")</f>
        <v>открыть</v>
      </c>
    </row>
    <row r="234" spans="1:9" x14ac:dyDescent="0.25">
      <c r="A234" t="s">
        <v>4094</v>
      </c>
      <c r="B234" t="s">
        <v>4095</v>
      </c>
      <c r="C234" t="s">
        <v>3649</v>
      </c>
      <c r="D234" s="8">
        <v>10</v>
      </c>
      <c r="E234" s="9">
        <v>1029.82</v>
      </c>
      <c r="F234" s="8">
        <v>558</v>
      </c>
      <c r="G234" s="10"/>
      <c r="H234" s="9" t="str">
        <f>IF(G234="","",E234*G234)</f>
        <v/>
      </c>
      <c r="I234" s="11" t="str">
        <f>HYPERLINK("https://optomposuda.ru/product/skovoroda-glubokaya-26sm-granit-gold-antiprigarnoe-pokrytie-ruchka-v-cvet","открыть")</f>
        <v>открыть</v>
      </c>
    </row>
    <row r="235" spans="1:9" x14ac:dyDescent="0.25">
      <c r="A235" t="s">
        <v>4096</v>
      </c>
      <c r="B235" t="s">
        <v>4097</v>
      </c>
      <c r="C235" t="s">
        <v>3649</v>
      </c>
      <c r="D235" s="8">
        <v>10</v>
      </c>
      <c r="E235" s="9">
        <v>1106.43</v>
      </c>
      <c r="F235" s="8">
        <v>227</v>
      </c>
      <c r="G235" s="10"/>
      <c r="H235" s="9" t="str">
        <f>IF(G235="","",E235*G235)</f>
        <v/>
      </c>
      <c r="I235" s="11" t="str">
        <f>HYPERLINK("https://optomposuda.ru/product/skovoroda-glubokaya-26sm-granit-gold-antiprigarnoe-pokrytie-semnaya-ruchka-ruchka-v-cvet","открыть")</f>
        <v>открыть</v>
      </c>
    </row>
    <row r="236" spans="1:9" x14ac:dyDescent="0.25">
      <c r="A236" t="s">
        <v>4098</v>
      </c>
      <c r="B236" t="s">
        <v>4099</v>
      </c>
      <c r="C236" t="s">
        <v>3649</v>
      </c>
      <c r="D236" s="8">
        <v>12</v>
      </c>
      <c r="E236" s="9">
        <v>1113.35</v>
      </c>
      <c r="F236" s="8">
        <v>17</v>
      </c>
      <c r="G236" s="10"/>
      <c r="H236" s="9" t="str">
        <f>IF(G236="","",E236*G236)</f>
        <v/>
      </c>
      <c r="I236" s="11" t="str">
        <f>HYPERLINK("https://optomposuda.ru/product/skovoroda-glubokaya-26sm-klassik-s-antiprigarnoe-pokrytie-semnaya-ruchka","открыть")</f>
        <v>открыть</v>
      </c>
    </row>
    <row r="237" spans="1:9" x14ac:dyDescent="0.25">
      <c r="A237" t="s">
        <v>4100</v>
      </c>
      <c r="B237" t="s">
        <v>4101</v>
      </c>
      <c r="C237" t="s">
        <v>3649</v>
      </c>
      <c r="D237" s="8">
        <v>10</v>
      </c>
      <c r="E237" s="9">
        <v>1215.24</v>
      </c>
      <c r="F237" s="8">
        <v>298</v>
      </c>
      <c r="G237" s="10"/>
      <c r="H237" s="9" t="str">
        <f>IF(G237="","",E237*G237)</f>
        <v/>
      </c>
      <c r="I237" s="11" t="str">
        <f>HYPERLINK("https://optomposuda.ru/product/skovoroda-glubokaya-26sm-mramor-antiprigarnoe-pokrytie-bez-kryshki","открыть")</f>
        <v>открыть</v>
      </c>
    </row>
    <row r="238" spans="1:9" x14ac:dyDescent="0.25">
      <c r="A238" t="s">
        <v>4102</v>
      </c>
      <c r="B238" t="s">
        <v>4103</v>
      </c>
      <c r="C238" t="s">
        <v>3649</v>
      </c>
      <c r="D238" s="8">
        <v>10</v>
      </c>
      <c r="E238" s="9">
        <v>1305.48</v>
      </c>
      <c r="F238" s="8">
        <v>528</v>
      </c>
      <c r="G238" s="10"/>
      <c r="H238" s="9" t="str">
        <f>IF(G238="","",E238*G238)</f>
        <v/>
      </c>
      <c r="I238" s="11" t="str">
        <f>HYPERLINK("https://optomposuda.ru/product/skovoroda-glubokaya-26sm-mramor-antiprigarnoe-pokrytie-semnaya-ruch-bez-kryshki","открыть")</f>
        <v>открыть</v>
      </c>
    </row>
    <row r="239" spans="1:9" x14ac:dyDescent="0.25">
      <c r="A239" t="s">
        <v>4104</v>
      </c>
      <c r="B239" t="s">
        <v>4105</v>
      </c>
      <c r="C239" t="s">
        <v>3649</v>
      </c>
      <c r="D239" s="8">
        <v>6</v>
      </c>
      <c r="E239" s="9">
        <v>1860.32</v>
      </c>
      <c r="F239" s="8">
        <v>487</v>
      </c>
      <c r="G239" s="10"/>
      <c r="H239" s="9" t="str">
        <f>IF(G239="","",E239*G239)</f>
        <v/>
      </c>
      <c r="I239" s="11" t="str">
        <f>HYPERLINK("https://optomposuda.ru/product/skovoroda-glubokaya-28-sm-dariis-indukciya-bez-kryshki-semnaya-ruchka","открыть")</f>
        <v>открыть</v>
      </c>
    </row>
    <row r="240" spans="1:9" x14ac:dyDescent="0.25">
      <c r="A240" t="s">
        <v>4106</v>
      </c>
      <c r="B240" t="s">
        <v>4107</v>
      </c>
      <c r="C240" t="s">
        <v>3649</v>
      </c>
      <c r="D240" s="8">
        <v>10</v>
      </c>
      <c r="E240" s="9">
        <v>1364.72</v>
      </c>
      <c r="F240" s="8">
        <v>150</v>
      </c>
      <c r="G240" s="10"/>
      <c r="H240" s="9" t="str">
        <f>IF(G240="","",E240*G240)</f>
        <v/>
      </c>
      <c r="I240" s="11" t="str">
        <f>HYPERLINK("https://optomposuda.ru/product/skovoroda-glubokaya-28sm-granit-braun-braun-bez-kryshki","открыть")</f>
        <v>открыть</v>
      </c>
    </row>
    <row r="241" spans="1:9" x14ac:dyDescent="0.25">
      <c r="A241" t="s">
        <v>4108</v>
      </c>
      <c r="B241" t="s">
        <v>4109</v>
      </c>
      <c r="C241" t="s">
        <v>3649</v>
      </c>
      <c r="D241" s="8">
        <v>1</v>
      </c>
      <c r="E241" s="9">
        <v>1116</v>
      </c>
      <c r="F241" s="8">
        <v>416</v>
      </c>
      <c r="G241" s="10"/>
      <c r="H241" s="9" t="str">
        <f>IF(G241="","",E241*G241)</f>
        <v/>
      </c>
      <c r="I241" s="11" t="str">
        <f>HYPERLINK("https://optomposuda.ru/product/skovoroda-glubokaya-28sm-granit-mechta-bez-kryshki","открыть")</f>
        <v>открыть</v>
      </c>
    </row>
    <row r="242" spans="1:9" x14ac:dyDescent="0.25">
      <c r="A242" t="s">
        <v>4110</v>
      </c>
      <c r="B242" t="s">
        <v>4111</v>
      </c>
      <c r="C242" t="s">
        <v>3649</v>
      </c>
      <c r="D242" s="8">
        <v>1</v>
      </c>
      <c r="E242" s="9">
        <v>1195</v>
      </c>
      <c r="F242" s="8">
        <v>676</v>
      </c>
      <c r="G242" s="10"/>
      <c r="H242" s="9" t="str">
        <f>IF(G242="","",E242*G242)</f>
        <v/>
      </c>
      <c r="I242" s="11" t="str">
        <f>HYPERLINK("https://optomposuda.ru/product/skovoroda-glubokaya-28sm-granit-mechta-bez-kryshki-semnaya-ruchka","открыть")</f>
        <v>открыть</v>
      </c>
    </row>
    <row r="243" spans="1:9" x14ac:dyDescent="0.25">
      <c r="A243" t="s">
        <v>4112</v>
      </c>
      <c r="B243" t="s">
        <v>4113</v>
      </c>
      <c r="C243" t="s">
        <v>3649</v>
      </c>
      <c r="D243" s="8">
        <v>6</v>
      </c>
      <c r="E243" s="9">
        <v>1286</v>
      </c>
      <c r="F243" s="8">
        <v>671</v>
      </c>
      <c r="G243" s="10"/>
      <c r="H243" s="9" t="str">
        <f>IF(G243="","",E243*G243)</f>
        <v/>
      </c>
      <c r="I243" s="11" t="str">
        <f>HYPERLINK("https://optomposuda.ru/product/skovoroda-glubokaya-28sm-granit-mechta-s-kryshkoy","открыть")</f>
        <v>открыть</v>
      </c>
    </row>
    <row r="244" spans="1:9" x14ac:dyDescent="0.25">
      <c r="A244" t="s">
        <v>4114</v>
      </c>
      <c r="B244" t="s">
        <v>4115</v>
      </c>
      <c r="C244" t="s">
        <v>3649</v>
      </c>
      <c r="D244" s="8">
        <v>10</v>
      </c>
      <c r="E244" s="9">
        <v>1384</v>
      </c>
      <c r="F244" s="8">
        <v>798</v>
      </c>
      <c r="G244" s="10"/>
      <c r="H244" s="9" t="str">
        <f>IF(G244="","",E244*G244)</f>
        <v/>
      </c>
      <c r="I244" s="11" t="str">
        <f>HYPERLINK("https://optomposuda.ru/product/skovoroda-glubokaya-28sm-granit-mechta-s-kryshkoy-semnaya-ruchka","открыть")</f>
        <v>открыть</v>
      </c>
    </row>
    <row r="245" spans="1:9" x14ac:dyDescent="0.25">
      <c r="A245" t="s">
        <v>4116</v>
      </c>
      <c r="B245" t="s">
        <v>4117</v>
      </c>
      <c r="C245" t="s">
        <v>3649</v>
      </c>
      <c r="D245" s="8">
        <v>10</v>
      </c>
      <c r="E245" s="9">
        <v>1454.95</v>
      </c>
      <c r="F245" s="8">
        <v>265</v>
      </c>
      <c r="G245" s="10"/>
      <c r="H245" s="9" t="str">
        <f>IF(G245="","",E245*G245)</f>
        <v/>
      </c>
      <c r="I245" s="11" t="str">
        <f>HYPERLINK("https://optomposuda.ru/product/skovoroda-glubokaya-28sm-granit-semnaya-ruchka-braun-braun-bez-kryshki","открыть")</f>
        <v>открыть</v>
      </c>
    </row>
    <row r="246" spans="1:9" x14ac:dyDescent="0.25">
      <c r="A246" t="s">
        <v>4118</v>
      </c>
      <c r="B246" t="s">
        <v>4119</v>
      </c>
      <c r="C246" t="s">
        <v>3649</v>
      </c>
      <c r="D246" s="8">
        <v>10</v>
      </c>
      <c r="E246" s="9">
        <v>1145.41</v>
      </c>
      <c r="F246" s="8">
        <v>711</v>
      </c>
      <c r="G246" s="10"/>
      <c r="H246" s="9" t="str">
        <f>IF(G246="","",E246*G246)</f>
        <v/>
      </c>
      <c r="I246" s="11" t="str">
        <f>HYPERLINK("https://optomposuda.ru/product/skovoroda-glubokaya-28sm-granit-gold-antiprigarnoe-pokrytie-ruchka-v-cvet","открыть")</f>
        <v>открыть</v>
      </c>
    </row>
    <row r="247" spans="1:9" x14ac:dyDescent="0.25">
      <c r="A247" t="s">
        <v>4120</v>
      </c>
      <c r="B247" t="s">
        <v>4121</v>
      </c>
      <c r="C247" t="s">
        <v>3649</v>
      </c>
      <c r="D247" s="8">
        <v>10</v>
      </c>
      <c r="E247" s="9">
        <v>1222.02</v>
      </c>
      <c r="F247" s="8">
        <v>298</v>
      </c>
      <c r="G247" s="10"/>
      <c r="H247" s="9" t="str">
        <f>IF(G247="","",E247*G247)</f>
        <v/>
      </c>
      <c r="I247" s="11" t="str">
        <f>HYPERLINK("https://optomposuda.ru/product/skovoroda-glubokaya-28sm-granit-gold-antiprigarnoe-pokrytie-semnaya-ruchka-ruchka-v-cvet","открыть")</f>
        <v>открыть</v>
      </c>
    </row>
    <row r="248" spans="1:9" x14ac:dyDescent="0.25">
      <c r="A248" t="s">
        <v>4122</v>
      </c>
      <c r="B248" t="s">
        <v>4123</v>
      </c>
      <c r="C248" t="s">
        <v>3649</v>
      </c>
      <c r="D248" s="8">
        <v>10</v>
      </c>
      <c r="E248" s="9">
        <v>1290.84</v>
      </c>
      <c r="F248" s="8">
        <v>156</v>
      </c>
      <c r="G248" s="10"/>
      <c r="H248" s="9" t="str">
        <f>IF(G248="","",E248*G248)</f>
        <v/>
      </c>
      <c r="I248" s="11" t="str">
        <f>HYPERLINK("https://optomposuda.ru/product/skovoroda-glubokaya-28sm-klassik-s-antiprigarnoe-pokrytie","открыть")</f>
        <v>открыть</v>
      </c>
    </row>
    <row r="249" spans="1:9" x14ac:dyDescent="0.25">
      <c r="A249" t="s">
        <v>4124</v>
      </c>
      <c r="B249" t="s">
        <v>4125</v>
      </c>
      <c r="C249" t="s">
        <v>3649</v>
      </c>
      <c r="D249" s="8">
        <v>10</v>
      </c>
      <c r="E249" s="9">
        <v>1212.8</v>
      </c>
      <c r="F249" s="8">
        <v>122</v>
      </c>
      <c r="G249" s="10"/>
      <c r="H249" s="9" t="str">
        <f>IF(G249="","",E249*G249)</f>
        <v/>
      </c>
      <c r="I249" s="11" t="str">
        <f>HYPERLINK("https://optomposuda.ru/product/skovoroda-glubokaya-28sm-klassik-s-antiprigarnoe-pokrytie-semnaya-ruchka","открыть")</f>
        <v>открыть</v>
      </c>
    </row>
    <row r="250" spans="1:9" x14ac:dyDescent="0.25">
      <c r="A250" t="s">
        <v>4126</v>
      </c>
      <c r="B250" t="s">
        <v>4127</v>
      </c>
      <c r="C250" t="s">
        <v>3649</v>
      </c>
      <c r="D250" s="8">
        <v>10</v>
      </c>
      <c r="E250" s="9">
        <v>1364.72</v>
      </c>
      <c r="F250" s="8">
        <v>359</v>
      </c>
      <c r="G250" s="10"/>
      <c r="H250" s="9" t="str">
        <f>IF(G250="","",E250*G250)</f>
        <v/>
      </c>
      <c r="I250" s="11" t="str">
        <f>HYPERLINK("https://optomposuda.ru/product/skovoroda-glubokaya-28sm-mramor-antiprigarnoe-pokrytie-bez-kryshki","открыть")</f>
        <v>открыть</v>
      </c>
    </row>
    <row r="251" spans="1:9" x14ac:dyDescent="0.25">
      <c r="A251" t="s">
        <v>4128</v>
      </c>
      <c r="B251" t="s">
        <v>4129</v>
      </c>
      <c r="C251" t="s">
        <v>3649</v>
      </c>
      <c r="D251" s="8">
        <v>1</v>
      </c>
      <c r="E251" s="9">
        <v>1454.95</v>
      </c>
      <c r="F251" s="8">
        <v>319</v>
      </c>
      <c r="G251" s="10"/>
      <c r="H251" s="9" t="str">
        <f>IF(G251="","",E251*G251)</f>
        <v/>
      </c>
      <c r="I251" s="11" t="str">
        <f>HYPERLINK("https://optomposuda.ru/product/skovoroda-glubokaya-28sm-mramor-antiprigarnoe-pokrytie-semnaya-ruch-bez-kr-10","открыть")</f>
        <v>открыть</v>
      </c>
    </row>
    <row r="252" spans="1:9" x14ac:dyDescent="0.25">
      <c r="A252" t="s">
        <v>4130</v>
      </c>
      <c r="B252" t="s">
        <v>4131</v>
      </c>
      <c r="C252" t="s">
        <v>3649</v>
      </c>
      <c r="D252" s="8">
        <v>8</v>
      </c>
      <c r="E252" s="9">
        <v>899</v>
      </c>
      <c r="F252" s="8">
        <v>75</v>
      </c>
      <c r="G252" s="10"/>
      <c r="H252" s="9" t="str">
        <f>IF(G252="","",E252*G252)</f>
        <v/>
      </c>
      <c r="I252" s="11" t="str">
        <f>HYPERLINK("https://optomposuda.ru/product/skovoroda-glubokaya-dariis-kuhmister-22sm-s-kryshkoy","открыть")</f>
        <v>открыть</v>
      </c>
    </row>
    <row r="253" spans="1:9" x14ac:dyDescent="0.25">
      <c r="A253" t="s">
        <v>4132</v>
      </c>
      <c r="B253" t="s">
        <v>4133</v>
      </c>
      <c r="C253" t="s">
        <v>3649</v>
      </c>
      <c r="D253" s="8">
        <v>6</v>
      </c>
      <c r="E253" s="9">
        <v>1016.19</v>
      </c>
      <c r="F253" s="8">
        <v>73</v>
      </c>
      <c r="G253" s="10"/>
      <c r="H253" s="9" t="str">
        <f>IF(G253="","",E253*G253)</f>
        <v/>
      </c>
      <c r="I253" s="11" t="str">
        <f>HYPERLINK("https://optomposuda.ru/product/skovoroda-glubokaya-dariis-kuhmister-24sm-s-kryshkoy","открыть")</f>
        <v>открыть</v>
      </c>
    </row>
    <row r="254" spans="1:9" x14ac:dyDescent="0.25">
      <c r="A254" t="s">
        <v>4134</v>
      </c>
      <c r="B254" t="s">
        <v>4135</v>
      </c>
      <c r="C254" t="s">
        <v>3649</v>
      </c>
      <c r="D254" s="8">
        <v>6</v>
      </c>
      <c r="E254" s="9">
        <v>1077.31</v>
      </c>
      <c r="F254" s="8">
        <v>7</v>
      </c>
      <c r="G254" s="10"/>
      <c r="H254" s="9" t="str">
        <f>IF(G254="","",E254*G254)</f>
        <v/>
      </c>
      <c r="I254" s="11" t="str">
        <f>HYPERLINK("https://optomposuda.ru/product/skovoroda-glubokaya-dariis-kuhmister-24sm-semnaya-ruchka-s-kryshkoy","открыть")</f>
        <v>открыть</v>
      </c>
    </row>
    <row r="255" spans="1:9" x14ac:dyDescent="0.25">
      <c r="A255" t="s">
        <v>4136</v>
      </c>
      <c r="B255" t="s">
        <v>4137</v>
      </c>
      <c r="C255" t="s">
        <v>3649</v>
      </c>
      <c r="D255" s="8">
        <v>6</v>
      </c>
      <c r="E255" s="9">
        <v>951.2</v>
      </c>
      <c r="F255" s="8">
        <v>461</v>
      </c>
      <c r="G255" s="10"/>
      <c r="H255" s="9" t="str">
        <f>IF(G255="","",E255*G255)</f>
        <v/>
      </c>
      <c r="I255" s="11" t="str">
        <f>HYPERLINK("https://optomposuda.ru/product/skovoroda-glubokaya-dariis-kuhmister-26sm-s-kryshkoy","открыть")</f>
        <v>открыть</v>
      </c>
    </row>
    <row r="256" spans="1:9" x14ac:dyDescent="0.25">
      <c r="A256" t="s">
        <v>4138</v>
      </c>
      <c r="B256" t="s">
        <v>4139</v>
      </c>
      <c r="C256" t="s">
        <v>3649</v>
      </c>
      <c r="D256" s="8">
        <v>6</v>
      </c>
      <c r="E256" s="9">
        <v>989.68</v>
      </c>
      <c r="F256" s="8">
        <v>667</v>
      </c>
      <c r="G256" s="10"/>
      <c r="H256" s="9" t="str">
        <f>IF(G256="","",E256*G256)</f>
        <v/>
      </c>
      <c r="I256" s="11" t="str">
        <f>HYPERLINK("https://optomposuda.ru/product/skovoroda-glubokaya-dariis-kuhmister-26sm-semnaya-ruchka-s-kryshkoy","открыть")</f>
        <v>открыть</v>
      </c>
    </row>
    <row r="257" spans="1:9" x14ac:dyDescent="0.25">
      <c r="A257" t="s">
        <v>4140</v>
      </c>
      <c r="B257" t="s">
        <v>4141</v>
      </c>
      <c r="C257" t="s">
        <v>3649</v>
      </c>
      <c r="D257" s="8">
        <v>6</v>
      </c>
      <c r="E257" s="9">
        <v>1086.67</v>
      </c>
      <c r="F257" s="8">
        <v>640</v>
      </c>
      <c r="G257" s="10"/>
      <c r="H257" s="9" t="str">
        <f>IF(G257="","",E257*G257)</f>
        <v/>
      </c>
      <c r="I257" s="11" t="str">
        <f>HYPERLINK("https://optomposuda.ru/product/skovoroda-glubokaya-dariis-kuhmister-28sm-s-kryshkoy","открыть")</f>
        <v>открыть</v>
      </c>
    </row>
    <row r="258" spans="1:9" x14ac:dyDescent="0.25">
      <c r="A258" t="s">
        <v>4142</v>
      </c>
      <c r="B258" t="s">
        <v>4143</v>
      </c>
      <c r="C258" t="s">
        <v>3649</v>
      </c>
      <c r="D258" s="8">
        <v>6</v>
      </c>
      <c r="E258" s="9">
        <v>1125.15</v>
      </c>
      <c r="F258" s="8">
        <v>388</v>
      </c>
      <c r="G258" s="10"/>
      <c r="H258" s="9" t="str">
        <f>IF(G258="","",E258*G258)</f>
        <v/>
      </c>
      <c r="I258" s="11" t="str">
        <f>HYPERLINK("https://optomposuda.ru/product/skovoroda-glubokaya-dariis-kuhmister-28sm-semnaya-ruchka-s-kryshkoy","открыть")</f>
        <v>открыть</v>
      </c>
    </row>
    <row r="259" spans="1:9" x14ac:dyDescent="0.25">
      <c r="A259" t="s">
        <v>4144</v>
      </c>
      <c r="B259" t="s">
        <v>4145</v>
      </c>
      <c r="C259" t="s">
        <v>3649</v>
      </c>
      <c r="D259" s="8">
        <v>14</v>
      </c>
      <c r="E259" s="9">
        <v>1223.75</v>
      </c>
      <c r="F259" s="8">
        <v>68</v>
      </c>
      <c r="G259" s="10"/>
      <c r="H259" s="9" t="str">
        <f>IF(G259="","",E259*G259)</f>
        <v/>
      </c>
      <c r="I259" s="11" t="str">
        <f>HYPERLINK("https://optomposuda.ru/product/skovoroda-dariis-granit-indukciya-glubokaya-24-sm-korichnevaya-bez-kryshki-sem-ruchka","открыть")</f>
        <v>открыть</v>
      </c>
    </row>
    <row r="260" spans="1:9" x14ac:dyDescent="0.25">
      <c r="A260" t="s">
        <v>4146</v>
      </c>
      <c r="B260" t="s">
        <v>4147</v>
      </c>
      <c r="C260" t="s">
        <v>3649</v>
      </c>
      <c r="D260" s="8">
        <v>14</v>
      </c>
      <c r="E260" s="9">
        <v>1068.64</v>
      </c>
      <c r="F260" s="8">
        <v>108</v>
      </c>
      <c r="G260" s="10"/>
      <c r="H260" s="9" t="str">
        <f>IF(G260="","",E260*G260)</f>
        <v/>
      </c>
      <c r="I260" s="11" t="str">
        <f>HYPERLINK("https://optomposuda.ru/product/skovoroda-dariis-granit-indukciya-glubokaya-24-sm-korichnevaya-bez-kryshki-n-ruchka","открыть")</f>
        <v>открыть</v>
      </c>
    </row>
    <row r="261" spans="1:9" x14ac:dyDescent="0.25">
      <c r="A261" t="s">
        <v>4148</v>
      </c>
      <c r="B261" t="s">
        <v>4149</v>
      </c>
      <c r="C261" t="s">
        <v>3649</v>
      </c>
      <c r="D261" s="8">
        <v>10</v>
      </c>
      <c r="E261" s="9">
        <v>1266.07</v>
      </c>
      <c r="F261" s="8">
        <v>103</v>
      </c>
      <c r="G261" s="10"/>
      <c r="H261" s="9" t="str">
        <f>IF(G261="","",E261*G261)</f>
        <v/>
      </c>
      <c r="I261" s="11" t="str">
        <f>HYPERLINK("https://optomposuda.ru/product/skovoroda-dariis-granit-indukciya-glubokaya-26-sm-korichn-bez-kryshki-sem-ruchka","открыть")</f>
        <v>открыть</v>
      </c>
    </row>
    <row r="262" spans="1:9" x14ac:dyDescent="0.25">
      <c r="A262" t="s">
        <v>4150</v>
      </c>
      <c r="B262" t="s">
        <v>4151</v>
      </c>
      <c r="C262" t="s">
        <v>3649</v>
      </c>
      <c r="D262" s="8">
        <v>10</v>
      </c>
      <c r="E262" s="9">
        <v>1156.03</v>
      </c>
      <c r="F262" s="8">
        <v>94</v>
      </c>
      <c r="G262" s="10"/>
      <c r="H262" s="9" t="str">
        <f>IF(G262="","",E262*G262)</f>
        <v/>
      </c>
      <c r="I262" s="11" t="str">
        <f>HYPERLINK("https://optomposuda.ru/product/skovoroda-dariis-granit-indukciya-glubokaya-26-sm-korichnevaya-bez-kryshki-n-ruchka","открыть")</f>
        <v>открыть</v>
      </c>
    </row>
    <row r="263" spans="1:9" x14ac:dyDescent="0.25">
      <c r="A263" t="s">
        <v>4152</v>
      </c>
      <c r="B263" t="s">
        <v>4153</v>
      </c>
      <c r="C263" t="s">
        <v>3649</v>
      </c>
      <c r="D263" s="8">
        <v>10</v>
      </c>
      <c r="E263" s="9">
        <v>1417.5</v>
      </c>
      <c r="F263" s="8">
        <v>223</v>
      </c>
      <c r="G263" s="10"/>
      <c r="H263" s="9" t="str">
        <f>IF(G263="","",E263*G263)</f>
        <v/>
      </c>
      <c r="I263" s="11" t="str">
        <f>HYPERLINK("https://optomposuda.ru/product/skovoroda-dariis-granit-indukciya-glubokaya-28-sm-korichn-bez-kryshki-sem-ruchka","открыть")</f>
        <v>открыть</v>
      </c>
    </row>
    <row r="264" spans="1:9" x14ac:dyDescent="0.25">
      <c r="A264" t="s">
        <v>4154</v>
      </c>
      <c r="B264" t="s">
        <v>4155</v>
      </c>
      <c r="C264" t="s">
        <v>3649</v>
      </c>
      <c r="D264" s="8">
        <v>10</v>
      </c>
      <c r="E264" s="9">
        <v>1189.77</v>
      </c>
      <c r="F264" s="8">
        <v>136</v>
      </c>
      <c r="G264" s="10"/>
      <c r="H264" s="9" t="str">
        <f>IF(G264="","",E264*G264)</f>
        <v/>
      </c>
      <c r="I264" s="11" t="str">
        <f>HYPERLINK("https://optomposuda.ru/product/skovoroda-dariis-granit-indukciya-glubokaya-28-sm-korichnevaya-bez-kryshki-n-ruchka","открыть")</f>
        <v>открыть</v>
      </c>
    </row>
    <row r="265" spans="1:9" x14ac:dyDescent="0.25">
      <c r="A265" t="s">
        <v>4156</v>
      </c>
      <c r="B265" t="s">
        <v>4157</v>
      </c>
      <c r="C265" t="s">
        <v>3649</v>
      </c>
      <c r="D265" s="8">
        <v>10</v>
      </c>
      <c r="E265" s="9">
        <v>1015.88</v>
      </c>
      <c r="F265" s="8">
        <v>33</v>
      </c>
      <c r="G265" s="10"/>
      <c r="H265" s="9" t="str">
        <f>IF(G265="","",E265*G265)</f>
        <v/>
      </c>
      <c r="I265" s="11" t="str">
        <f>HYPERLINK("https://optomposuda.ru/product/skovoroda-dariis-mechta-indukciya-glubokaya-24-sm-litoy-alyuminiy-indukciya","открыть")</f>
        <v>открыть</v>
      </c>
    </row>
    <row r="266" spans="1:9" x14ac:dyDescent="0.25">
      <c r="A266" t="s">
        <v>4158</v>
      </c>
      <c r="B266" t="s">
        <v>4159</v>
      </c>
      <c r="C266" t="s">
        <v>3649</v>
      </c>
      <c r="D266" s="8">
        <v>10</v>
      </c>
      <c r="E266" s="9">
        <v>1128.75</v>
      </c>
      <c r="F266" s="8">
        <v>211</v>
      </c>
      <c r="G266" s="10"/>
      <c r="H266" s="9" t="str">
        <f>IF(G266="","",E266*G266)</f>
        <v/>
      </c>
      <c r="I266" s="11" t="str">
        <f>HYPERLINK("https://optomposuda.ru/product/skovoroda-dariis-mechta-indukciya-glubokaya-26-sm-litoy-alyuminiy-indukciya-n-ruchka","открыть")</f>
        <v>открыть</v>
      </c>
    </row>
    <row r="267" spans="1:9" x14ac:dyDescent="0.25">
      <c r="A267" t="s">
        <v>4160</v>
      </c>
      <c r="B267" t="s">
        <v>4161</v>
      </c>
      <c r="C267" t="s">
        <v>3649</v>
      </c>
      <c r="D267" s="8">
        <v>10</v>
      </c>
      <c r="E267" s="9">
        <v>1218</v>
      </c>
      <c r="F267" s="8">
        <v>119</v>
      </c>
      <c r="G267" s="10"/>
      <c r="H267" s="9" t="str">
        <f>IF(G267="","",E267*G267)</f>
        <v/>
      </c>
      <c r="I267" s="11" t="str">
        <f>HYPERLINK("https://optomposuda.ru/product/skovoroda-dariis-mechta-indukciya-glubokaya-28-sm-litoy-alyuminiy-indukciya","открыть")</f>
        <v>открыть</v>
      </c>
    </row>
    <row r="268" spans="1:9" x14ac:dyDescent="0.25">
      <c r="A268" t="s">
        <v>4162</v>
      </c>
      <c r="B268" t="s">
        <v>4163</v>
      </c>
      <c r="C268" t="s">
        <v>3649</v>
      </c>
      <c r="D268" s="8">
        <v>6</v>
      </c>
      <c r="E268" s="9">
        <v>1180</v>
      </c>
      <c r="F268" s="8">
        <v>477</v>
      </c>
      <c r="G268" s="10"/>
      <c r="H268" s="9" t="str">
        <f>IF(G268="","",E268*G268)</f>
        <v/>
      </c>
      <c r="I268" s="11" t="str">
        <f>HYPERLINK("https://optomposuda.ru/product/skovoroda-diamond-universalnaya-indukciya-litaya-v-podarochnom-meshke-22-sm-metal-klep-ruc","открыть")</f>
        <v>открыть</v>
      </c>
    </row>
    <row r="269" spans="1:9" x14ac:dyDescent="0.25">
      <c r="A269" t="s">
        <v>4164</v>
      </c>
      <c r="B269" t="s">
        <v>4165</v>
      </c>
      <c r="C269" t="s">
        <v>3649</v>
      </c>
      <c r="D269" s="8">
        <v>6</v>
      </c>
      <c r="E269" s="9">
        <v>1334</v>
      </c>
      <c r="F269" s="8">
        <v>476</v>
      </c>
      <c r="G269" s="10"/>
      <c r="H269" s="9" t="str">
        <f>IF(G269="","",E269*G269)</f>
        <v/>
      </c>
      <c r="I269" s="11" t="str">
        <f>HYPERLINK("https://optomposuda.ru/product/skovoroda-diamond-universalnaya-indukciya-litaya-v-podarochnom-meshke-24-sm-metal-klep-ruc","открыть")</f>
        <v>открыть</v>
      </c>
    </row>
    <row r="270" spans="1:9" x14ac:dyDescent="0.25">
      <c r="A270" t="s">
        <v>4166</v>
      </c>
      <c r="B270" t="s">
        <v>4167</v>
      </c>
      <c r="C270" t="s">
        <v>3649</v>
      </c>
      <c r="D270" s="8">
        <v>6</v>
      </c>
      <c r="E270" s="9">
        <v>1440</v>
      </c>
      <c r="F270" s="8">
        <v>278</v>
      </c>
      <c r="G270" s="10"/>
      <c r="H270" s="9" t="str">
        <f>IF(G270="","",E270*G270)</f>
        <v/>
      </c>
      <c r="I270" s="11" t="str">
        <f>HYPERLINK("https://optomposuda.ru/product/skovoroda-diamond-universalnaya-indukciya-litaya-v-podarochnom-meshke-26-sm-metal-klep-ruc","открыть")</f>
        <v>открыть</v>
      </c>
    </row>
    <row r="271" spans="1:9" x14ac:dyDescent="0.25">
      <c r="A271" t="s">
        <v>4168</v>
      </c>
      <c r="B271" t="s">
        <v>4169</v>
      </c>
      <c r="C271" t="s">
        <v>3649</v>
      </c>
      <c r="D271" s="8">
        <v>4</v>
      </c>
      <c r="E271" s="9">
        <v>1663</v>
      </c>
      <c r="F271" s="8">
        <v>485</v>
      </c>
      <c r="G271" s="10"/>
      <c r="H271" s="9" t="str">
        <f>IF(G271="","",E271*G271)</f>
        <v/>
      </c>
      <c r="I271" s="11" t="str">
        <f>HYPERLINK("https://optomposuda.ru/product/skovoroda-diamond-universalnaya-indukciya-litaya-v-podarochnom-meshke-28-sm-metal-klep-ruc","открыть")</f>
        <v>открыть</v>
      </c>
    </row>
    <row r="272" spans="1:9" x14ac:dyDescent="0.25">
      <c r="A272" t="s">
        <v>4170</v>
      </c>
      <c r="B272" t="s">
        <v>4171</v>
      </c>
      <c r="C272" t="s">
        <v>3649</v>
      </c>
      <c r="D272" s="8">
        <v>10</v>
      </c>
      <c r="E272" s="9">
        <v>1300</v>
      </c>
      <c r="F272" s="8">
        <v>12</v>
      </c>
      <c r="G272" s="10"/>
      <c r="H272" s="9" t="str">
        <f>IF(G272="","",E272*G272)</f>
        <v/>
      </c>
      <c r="I272" s="11" t="str">
        <f>HYPERLINK("https://optomposuda.ru/product/skovoroda-vok-28sm-granit-braun-braun-bez-kryshki","открыть")</f>
        <v>открыть</v>
      </c>
    </row>
    <row r="273" spans="1:9" x14ac:dyDescent="0.25">
      <c r="A273" t="s">
        <v>4172</v>
      </c>
      <c r="B273" t="s">
        <v>4173</v>
      </c>
      <c r="C273" t="s">
        <v>3649</v>
      </c>
      <c r="D273" s="8">
        <v>10</v>
      </c>
      <c r="E273" s="9">
        <v>1300</v>
      </c>
      <c r="F273" s="8">
        <v>261</v>
      </c>
      <c r="G273" s="10"/>
      <c r="H273" s="9" t="str">
        <f>IF(G273="","",E273*G273)</f>
        <v/>
      </c>
      <c r="I273" s="11" t="str">
        <f>HYPERLINK("https://optomposuda.ru/product/skovoroda-vok-28sm-mramor-antiprigarnoe-pokrytie-bez-kryshki","открыть")</f>
        <v>открыть</v>
      </c>
    </row>
    <row r="274" spans="1:9" x14ac:dyDescent="0.25">
      <c r="A274" t="s">
        <v>4174</v>
      </c>
      <c r="B274" t="s">
        <v>4175</v>
      </c>
      <c r="C274" t="s">
        <v>3649</v>
      </c>
      <c r="D274" s="8">
        <v>10</v>
      </c>
      <c r="E274" s="9">
        <v>123.83</v>
      </c>
      <c r="F274" s="8">
        <v>142</v>
      </c>
      <c r="G274" s="10"/>
      <c r="H274" s="9" t="str">
        <f>IF(G274="","",E274*G274)</f>
        <v/>
      </c>
      <c r="I274" s="11" t="str">
        <f>HYPERLINK("https://optomposuda.ru/product/turka-dariis-100-ml-iz-nerzhaveyuschaya-stalaveyuschey-stali","открыть")</f>
        <v>открыть</v>
      </c>
    </row>
    <row r="275" spans="1:9" x14ac:dyDescent="0.25">
      <c r="A275" t="s">
        <v>4176</v>
      </c>
      <c r="B275" t="s">
        <v>4177</v>
      </c>
      <c r="C275" t="s">
        <v>3649</v>
      </c>
      <c r="D275" s="8">
        <v>10</v>
      </c>
      <c r="E275" s="9">
        <v>313.71</v>
      </c>
      <c r="F275" s="8">
        <v>336</v>
      </c>
      <c r="G275" s="10"/>
      <c r="H275" s="9" t="str">
        <f>IF(G275="","",E275*G275)</f>
        <v/>
      </c>
      <c r="I275" s="11" t="str">
        <f>HYPERLINK("https://optomposuda.ru/product/turka-dariis-1000-ml-iz-nerzhaveyuschaya-stalaveyuschey-stali","открыть")</f>
        <v>открыть</v>
      </c>
    </row>
    <row r="276" spans="1:9" x14ac:dyDescent="0.25">
      <c r="A276" t="s">
        <v>4178</v>
      </c>
      <c r="B276" t="s">
        <v>4179</v>
      </c>
      <c r="C276" t="s">
        <v>3649</v>
      </c>
      <c r="D276" s="8">
        <v>10</v>
      </c>
      <c r="E276" s="9">
        <v>231.84</v>
      </c>
      <c r="F276" s="8">
        <v>1534</v>
      </c>
      <c r="G276" s="10"/>
      <c r="H276" s="9" t="str">
        <f>IF(G276="","",E276*G276)</f>
        <v/>
      </c>
      <c r="I276" s="11" t="str">
        <f>HYPERLINK("https://optomposuda.ru/product/turka-dariis-300-ml-iz-nerzhaveyuschaya-stalaveyuschey-stali","открыть")</f>
        <v>открыть</v>
      </c>
    </row>
    <row r="277" spans="1:9" x14ac:dyDescent="0.25">
      <c r="A277" t="s">
        <v>4180</v>
      </c>
      <c r="B277" t="s">
        <v>4181</v>
      </c>
      <c r="C277" t="s">
        <v>3649</v>
      </c>
      <c r="D277" s="8">
        <v>10</v>
      </c>
      <c r="E277" s="9">
        <v>239.4</v>
      </c>
      <c r="F277" s="8">
        <v>1479</v>
      </c>
      <c r="G277" s="10"/>
      <c r="H277" s="9" t="str">
        <f>IF(G277="","",E277*G277)</f>
        <v/>
      </c>
      <c r="I277" s="11" t="str">
        <f>HYPERLINK("https://optomposuda.ru/product/turka-dariis-400-ml-iz-nerzhaveyuschaya-stalaveyuschey-stali","открыть")</f>
        <v>открыть</v>
      </c>
    </row>
    <row r="278" spans="1:9" x14ac:dyDescent="0.25">
      <c r="A278" t="s">
        <v>4182</v>
      </c>
      <c r="B278" t="s">
        <v>4183</v>
      </c>
      <c r="C278" t="s">
        <v>3649</v>
      </c>
      <c r="D278" s="8">
        <v>10</v>
      </c>
      <c r="E278" s="9">
        <v>249.48</v>
      </c>
      <c r="F278" s="8">
        <v>799</v>
      </c>
      <c r="G278" s="10"/>
      <c r="H278" s="9" t="str">
        <f>IF(G278="","",E278*G278)</f>
        <v/>
      </c>
      <c r="I278" s="11" t="str">
        <f>HYPERLINK("https://optomposuda.ru/product/turka-dariis-500-ml-iz-nerzhaveyuschaya-stalaveyuschey-stali","открыть")</f>
        <v>открыть</v>
      </c>
    </row>
    <row r="279" spans="1:9" x14ac:dyDescent="0.25">
      <c r="A279" t="s">
        <v>4184</v>
      </c>
      <c r="B279" t="s">
        <v>4185</v>
      </c>
      <c r="C279" t="s">
        <v>3649</v>
      </c>
      <c r="D279" s="8">
        <v>10</v>
      </c>
      <c r="E279" s="9">
        <v>277.38</v>
      </c>
      <c r="F279" s="8">
        <v>687</v>
      </c>
      <c r="G279" s="10"/>
      <c r="H279" s="9" t="str">
        <f>IF(G279="","",E279*G279)</f>
        <v/>
      </c>
      <c r="I279" s="11" t="str">
        <f>HYPERLINK("https://optomposuda.ru/product/turka-dariis-700-ml-iz-nerzhaveyuschaya-stalaveyuschey-stali","открыть")</f>
        <v>открыть</v>
      </c>
    </row>
    <row r="280" spans="1:9" x14ac:dyDescent="0.25">
      <c r="A280" t="s">
        <v>4186</v>
      </c>
      <c r="B280" t="s">
        <v>4187</v>
      </c>
      <c r="C280" t="s">
        <v>3649</v>
      </c>
      <c r="D280" s="8">
        <v>6</v>
      </c>
      <c r="E280" s="9">
        <v>452.22</v>
      </c>
      <c r="F280" s="8">
        <v>1480</v>
      </c>
      <c r="G280" s="10"/>
      <c r="H280" s="9" t="str">
        <f>IF(G280="","",E280*G280)</f>
        <v/>
      </c>
      <c r="I280" s="11" t="str">
        <f>HYPERLINK("https://optomposuda.ru/product/forma-dlya-zapekaniya-kruglaya-dariis-d-320-mm-h-50-mm-gladkaya","открыть")</f>
        <v>открыть</v>
      </c>
    </row>
    <row r="281" spans="1:9" x14ac:dyDescent="0.25">
      <c r="A281" t="s">
        <v>4188</v>
      </c>
      <c r="B281" t="s">
        <v>4189</v>
      </c>
      <c r="C281" t="s">
        <v>3649</v>
      </c>
      <c r="D281" s="8">
        <v>6</v>
      </c>
      <c r="E281" s="9">
        <v>335.27</v>
      </c>
      <c r="F281" s="8">
        <v>714</v>
      </c>
      <c r="G281" s="10"/>
      <c r="H281" s="9" t="str">
        <f>IF(G281="","",E281*G281)</f>
        <v/>
      </c>
      <c r="I281" s="11" t="str">
        <f>HYPERLINK("https://optomposuda.ru/product/forma-dlya-zapekaniya-kruglaya-dariis-d-320-mm-h-50-mm-soty","открыть")</f>
        <v>открыть</v>
      </c>
    </row>
    <row r="282" spans="1:9" x14ac:dyDescent="0.25">
      <c r="A282" t="s">
        <v>4190</v>
      </c>
      <c r="B282" t="s">
        <v>4191</v>
      </c>
      <c r="C282" t="s">
        <v>3649</v>
      </c>
      <c r="D282" s="8">
        <v>12</v>
      </c>
      <c r="E282" s="9">
        <v>332.67</v>
      </c>
      <c r="F282" s="8">
        <v>1948</v>
      </c>
      <c r="G282" s="10"/>
      <c r="H282" s="9" t="str">
        <f>IF(G282="","",E282*G282)</f>
        <v/>
      </c>
      <c r="I282" s="11" t="str">
        <f>HYPERLINK("https://optomposuda.ru/product/forma-dlya-zapekaniya-ovalnaya-dariis-d-260-mm-h-180mm-h-60-mm-gladkaya","открыть")</f>
        <v>открыть</v>
      </c>
    </row>
    <row r="283" spans="1:9" x14ac:dyDescent="0.25">
      <c r="A283" t="s">
        <v>4192</v>
      </c>
      <c r="B283" t="s">
        <v>4193</v>
      </c>
      <c r="C283" t="s">
        <v>3649</v>
      </c>
      <c r="D283" s="8">
        <v>12</v>
      </c>
      <c r="E283" s="9">
        <v>332.67</v>
      </c>
      <c r="F283" s="8">
        <v>1708</v>
      </c>
      <c r="G283" s="10"/>
      <c r="H283" s="9" t="str">
        <f>IF(G283="","",E283*G283)</f>
        <v/>
      </c>
      <c r="I283" s="11" t="str">
        <f>HYPERLINK("https://optomposuda.ru/product/forma-dlya-zapekaniya-ovalnaya-dariis-d-260-mm-h-180mm-h-60-mm-soty","открыть")</f>
        <v>открыть</v>
      </c>
    </row>
    <row r="284" spans="1:9" x14ac:dyDescent="0.25">
      <c r="A284" t="s">
        <v>4194</v>
      </c>
      <c r="B284" t="s">
        <v>4195</v>
      </c>
      <c r="C284" t="s">
        <v>3649</v>
      </c>
      <c r="D284" s="8">
        <v>8</v>
      </c>
      <c r="E284" s="9">
        <v>452.22</v>
      </c>
      <c r="F284" s="8">
        <v>792</v>
      </c>
      <c r="G284" s="10"/>
      <c r="H284" s="9" t="str">
        <f>IF(G284="","",E284*G284)</f>
        <v/>
      </c>
      <c r="I284" s="11" t="str">
        <f>HYPERLINK("https://optomposuda.ru/product/forma-dlya-zapekaniya-ovalnaya-dariis-d-350-mm-h-250mm-h-65-mm-gladkaya","открыть")</f>
        <v>открыть</v>
      </c>
    </row>
    <row r="285" spans="1:9" x14ac:dyDescent="0.25">
      <c r="A285" t="s">
        <v>4196</v>
      </c>
      <c r="B285" t="s">
        <v>4197</v>
      </c>
      <c r="C285" t="s">
        <v>3649</v>
      </c>
      <c r="D285" s="8">
        <v>8</v>
      </c>
      <c r="E285" s="9">
        <v>452.22</v>
      </c>
      <c r="F285" s="8">
        <v>1230</v>
      </c>
      <c r="G285" s="10"/>
      <c r="H285" s="9" t="str">
        <f>IF(G285="","",E285*G285)</f>
        <v/>
      </c>
      <c r="I285" s="11" t="str">
        <f>HYPERLINK("https://optomposuda.ru/product/forma-dlya-zapekaniya-ovalnaya-dariis-d-350-mm-h-250mm-h-65-mm-plisse","открыть")</f>
        <v>открыть</v>
      </c>
    </row>
    <row r="286" spans="1:9" x14ac:dyDescent="0.25">
      <c r="A286" t="s">
        <v>4198</v>
      </c>
      <c r="B286" t="s">
        <v>4199</v>
      </c>
      <c r="C286" t="s">
        <v>3649</v>
      </c>
      <c r="D286" s="8">
        <v>8</v>
      </c>
      <c r="E286" s="9">
        <v>452.22</v>
      </c>
      <c r="F286" s="8">
        <v>941</v>
      </c>
      <c r="G286" s="10"/>
      <c r="H286" s="9" t="str">
        <f>IF(G286="","",E286*G286)</f>
        <v/>
      </c>
      <c r="I286" s="11" t="str">
        <f>HYPERLINK("https://optomposuda.ru/product/forma-dlya-zapekaniya-ovalnaya-dariis-d-350-mm-h-250mm-h-65-mm-soty","открыть")</f>
        <v>открыть</v>
      </c>
    </row>
    <row r="287" spans="1:9" x14ac:dyDescent="0.25">
      <c r="A287" t="s">
        <v>4200</v>
      </c>
      <c r="B287" t="s">
        <v>4201</v>
      </c>
      <c r="C287" t="s">
        <v>3649</v>
      </c>
      <c r="D287" s="8">
        <v>6</v>
      </c>
      <c r="E287" s="9">
        <v>868.44</v>
      </c>
      <c r="F287" s="8">
        <v>15</v>
      </c>
      <c r="G287" s="10"/>
      <c r="H287" s="9" t="str">
        <f>IF(G287="","",E287*G287)</f>
        <v/>
      </c>
      <c r="I287" s="11" t="str">
        <f>HYPERLINK("https://optomposuda.ru/product/forma-mechta-steklyannaya-s-antiprigarnym-pokrytiem-kvadratnaya-dariis-320-x-283-x-60-mm-g","открыть")</f>
        <v>открыть</v>
      </c>
    </row>
    <row r="288" spans="1:9" x14ac:dyDescent="0.25">
      <c r="A288" t="s">
        <v>4202</v>
      </c>
      <c r="B288" t="s">
        <v>4203</v>
      </c>
      <c r="C288" t="s">
        <v>3649</v>
      </c>
      <c r="D288" s="8">
        <v>6</v>
      </c>
      <c r="E288" s="9">
        <v>687.52</v>
      </c>
      <c r="F288" s="8">
        <v>97</v>
      </c>
      <c r="G288" s="10"/>
      <c r="H288" s="9" t="str">
        <f>IF(G288="","",E288*G288)</f>
        <v/>
      </c>
      <c r="I288" s="11" t="str">
        <f>HYPERLINK("https://optomposuda.ru/product/forma-mechta-steklyannaya-s-antiprigarnym-pokrytiem-kruglaya-dariis-d-260-mm-h-45-mm-gladk","открыть")</f>
        <v>открыть</v>
      </c>
    </row>
    <row r="289" spans="1:9" x14ac:dyDescent="0.25">
      <c r="A289" t="s">
        <v>4204</v>
      </c>
      <c r="B289" t="s">
        <v>4205</v>
      </c>
      <c r="C289" t="s">
        <v>3649</v>
      </c>
      <c r="D289" s="8">
        <v>6</v>
      </c>
      <c r="E289" s="9">
        <v>1002.66</v>
      </c>
      <c r="F289" s="8">
        <v>122</v>
      </c>
      <c r="G289" s="10"/>
      <c r="H289" s="9" t="str">
        <f>IF(G289="","",E289*G289)</f>
        <v/>
      </c>
      <c r="I289" s="11" t="str">
        <f>HYPERLINK("https://optomposuda.ru/product/forma-mechta-steklyannaya-s-antiprigarnym-pokrytiem-kruglaya-dariis-d-320-mm-h-50-mm-gladk","открыть")</f>
        <v>открыть</v>
      </c>
    </row>
    <row r="290" spans="1:9" x14ac:dyDescent="0.25">
      <c r="A290" t="s">
        <v>4206</v>
      </c>
      <c r="B290" t="s">
        <v>4207</v>
      </c>
      <c r="C290" t="s">
        <v>3649</v>
      </c>
      <c r="D290" s="8">
        <v>12</v>
      </c>
      <c r="E290" s="9">
        <v>715.86</v>
      </c>
      <c r="F290" s="8">
        <v>141</v>
      </c>
      <c r="G290" s="10"/>
      <c r="H290" s="9" t="str">
        <f>IF(G290="","",E290*G290)</f>
        <v/>
      </c>
      <c r="I290" s="11" t="str">
        <f>HYPERLINK("https://optomposuda.ru/product/forma-mechta-steklyannaya-s-antiprigarnym-pokrytiem-ovalnaya-dariis-d-260h180h60-mm-gladka","открыть")</f>
        <v>открыть</v>
      </c>
    </row>
    <row r="291" spans="1:9" x14ac:dyDescent="0.25">
      <c r="A291" t="s">
        <v>4208</v>
      </c>
      <c r="B291" t="s">
        <v>4209</v>
      </c>
      <c r="C291" t="s">
        <v>3649</v>
      </c>
      <c r="D291" s="8">
        <v>8</v>
      </c>
      <c r="E291" s="9">
        <v>1081.24</v>
      </c>
      <c r="F291" s="8">
        <v>151</v>
      </c>
      <c r="G291" s="10"/>
      <c r="H291" s="9" t="str">
        <f>IF(G291="","",E291*G291)</f>
        <v/>
      </c>
      <c r="I291" s="11" t="str">
        <f>HYPERLINK("https://optomposuda.ru/product/forma-mechta-steklyannaya-s-antiprigarnym-pokrytiem-ovalnaya-dariis-d-350h250h65-mm-gladka","открыть")</f>
        <v>открыть</v>
      </c>
    </row>
    <row r="292" spans="1:9" x14ac:dyDescent="0.25">
      <c r="A292" t="s">
        <v>4210</v>
      </c>
      <c r="B292" t="s">
        <v>4211</v>
      </c>
      <c r="C292" t="s">
        <v>3649</v>
      </c>
      <c r="D292" s="8">
        <v>20</v>
      </c>
      <c r="E292" s="9">
        <v>375</v>
      </c>
      <c r="F292" s="8">
        <v>6</v>
      </c>
      <c r="G292" s="10"/>
      <c r="H292" s="9" t="str">
        <f>IF(G292="","",E292*G292)</f>
        <v/>
      </c>
      <c r="I292" s="11" t="str">
        <f>HYPERLINK("https://optomposuda.ru/product/hlebnaya-forma-l-7-odinarn-220-110-115-0-700kg-tm-dariis-1-700","открыть")</f>
        <v>открыть</v>
      </c>
    </row>
    <row r="293" spans="1:9" x14ac:dyDescent="0.25">
      <c r="A293" t="s">
        <v>4212</v>
      </c>
      <c r="B293" t="s">
        <v>4213</v>
      </c>
      <c r="C293" t="s">
        <v>3649</v>
      </c>
      <c r="D293" s="8">
        <v>10</v>
      </c>
      <c r="E293" s="9">
        <v>1008.29</v>
      </c>
      <c r="F293" s="8">
        <v>196</v>
      </c>
      <c r="G293" s="10"/>
      <c r="H293" s="9" t="str">
        <f>IF(G293="","",E293*G293)</f>
        <v/>
      </c>
      <c r="I293" s="11" t="str">
        <f>HYPERLINK("https://optomposuda.ru/product/duo-108-nn-skovoroda-22-sm-dariis-duo-granit-so-semnoy-ruch-litoy-alyuminiy-antiprigarnoe-","открыть")</f>
        <v>открыть</v>
      </c>
    </row>
    <row r="294" spans="1:9" x14ac:dyDescent="0.25">
      <c r="A294" t="s">
        <v>4214</v>
      </c>
      <c r="B294" t="s">
        <v>4215</v>
      </c>
      <c r="C294" t="s">
        <v>3649</v>
      </c>
      <c r="D294" s="8">
        <v>10</v>
      </c>
      <c r="E294" s="9">
        <v>841.68</v>
      </c>
      <c r="F294" s="8">
        <v>117</v>
      </c>
      <c r="G294" s="10"/>
      <c r="H294" s="9" t="str">
        <f>IF(G294="","",E294*G294)</f>
        <v/>
      </c>
      <c r="I294" s="11" t="str">
        <f>HYPERLINK("https://optomposuda.ru/product/duo-108-skovoroda-22-sm-dariis-duo-granit-nerzhaveyuschaya-stal-litoy-alyuminiy-antiprigar","открыть")</f>
        <v>открыть</v>
      </c>
    </row>
    <row r="295" spans="1:9" x14ac:dyDescent="0.25">
      <c r="A295" t="s">
        <v>4216</v>
      </c>
      <c r="B295" t="s">
        <v>4217</v>
      </c>
      <c r="C295" t="s">
        <v>3649</v>
      </c>
      <c r="D295" s="8">
        <v>10</v>
      </c>
      <c r="E295" s="9">
        <v>1080.16</v>
      </c>
      <c r="F295" s="8">
        <v>66</v>
      </c>
      <c r="G295" s="10"/>
      <c r="H295" s="9" t="str">
        <f>IF(G295="","",E295*G295)</f>
        <v/>
      </c>
      <c r="I295" s="11" t="str">
        <f>HYPERLINK("https://optomposuda.ru/product/duo-109-nn-skovoroda-24-sm-dariis-duo-granit-so-semnoy-ruch-litoy-alyuminiy-antiprigarnoe-","открыть")</f>
        <v>открыть</v>
      </c>
    </row>
    <row r="296" spans="1:9" x14ac:dyDescent="0.25">
      <c r="A296" t="s">
        <v>4218</v>
      </c>
      <c r="B296" t="s">
        <v>4219</v>
      </c>
      <c r="C296" t="s">
        <v>3649</v>
      </c>
      <c r="D296" s="8">
        <v>10</v>
      </c>
      <c r="E296" s="9">
        <v>951.15</v>
      </c>
      <c r="F296" s="8">
        <v>240</v>
      </c>
      <c r="G296" s="10"/>
      <c r="H296" s="9" t="str">
        <f>IF(G296="","",E296*G296)</f>
        <v/>
      </c>
      <c r="I296" s="11" t="str">
        <f>HYPERLINK("https://optomposuda.ru/product/duo-109-skovoroda-24-sm-dariis-duo-granit-litoy-alyuminiy-antiprigarnoe-pokrytiekorich-s-t","открыть")</f>
        <v>открыть</v>
      </c>
    </row>
    <row r="297" spans="1:9" x14ac:dyDescent="0.25">
      <c r="A297" t="s">
        <v>4220</v>
      </c>
      <c r="B297" t="s">
        <v>4221</v>
      </c>
      <c r="C297" t="s">
        <v>3649</v>
      </c>
      <c r="D297" s="8">
        <v>10</v>
      </c>
      <c r="E297" s="9">
        <v>1029.79</v>
      </c>
      <c r="F297" s="8">
        <v>252</v>
      </c>
      <c r="G297" s="10"/>
      <c r="H297" s="9" t="str">
        <f>IF(G297="","",E297*G297)</f>
        <v/>
      </c>
      <c r="I297" s="11" t="str">
        <f>HYPERLINK("https://optomposuda.ru/product/duo-110-skovoroda-26-sm-dariis-duo-granit-litoy-alyuminiy-antiprigarnoe-pokrytiekorich-s-t","открыть")</f>
        <v>открыть</v>
      </c>
    </row>
    <row r="298" spans="1:9" x14ac:dyDescent="0.25">
      <c r="A298" t="s">
        <v>4222</v>
      </c>
      <c r="B298" t="s">
        <v>4223</v>
      </c>
      <c r="C298" t="s">
        <v>3649</v>
      </c>
      <c r="D298" s="8">
        <v>10</v>
      </c>
      <c r="E298" s="9">
        <v>1142.48</v>
      </c>
      <c r="F298" s="8">
        <v>155</v>
      </c>
      <c r="G298" s="10"/>
      <c r="H298" s="9" t="str">
        <f>IF(G298="","",E298*G298)</f>
        <v/>
      </c>
      <c r="I298" s="11" t="str">
        <f>HYPERLINK("https://optomposuda.ru/product/duo-111-skovoroda-28-sm-dariis-duo-granit-nerzhaveyuschaya-stal-litoy-alyuminiy-antiprigar","открыть")</f>
        <v>открыть</v>
      </c>
    </row>
    <row r="299" spans="1:9" x14ac:dyDescent="0.25">
      <c r="A299" t="s">
        <v>4224</v>
      </c>
      <c r="B299" t="s">
        <v>4225</v>
      </c>
      <c r="C299" t="s">
        <v>3649</v>
      </c>
      <c r="D299" s="8">
        <v>10</v>
      </c>
      <c r="E299" s="9">
        <v>870.26</v>
      </c>
      <c r="F299" s="8">
        <v>446</v>
      </c>
      <c r="G299" s="10"/>
      <c r="H299" s="9" t="str">
        <f>IF(G299="","",E299*G299)</f>
        <v/>
      </c>
      <c r="I299" s="11" t="str">
        <f>HYPERLINK("https://optomposuda.ru/product/duo-22-skovoroda-blinnaya-22-sm-dariis-duo-granit-litoy-alyuminiy-antiprigarnoe-pokrytieko","открыть")</f>
        <v>открыть</v>
      </c>
    </row>
    <row r="300" spans="1:9" x14ac:dyDescent="0.25">
      <c r="A300" t="s">
        <v>4226</v>
      </c>
      <c r="B300" t="s">
        <v>4227</v>
      </c>
      <c r="C300" t="s">
        <v>3649</v>
      </c>
      <c r="D300" s="8">
        <v>6</v>
      </c>
      <c r="E300" s="9">
        <v>876.83</v>
      </c>
      <c r="F300" s="8">
        <v>142</v>
      </c>
      <c r="G300" s="10"/>
      <c r="H300" s="9" t="str">
        <f>IF(G300="","",E300*G300)</f>
        <v/>
      </c>
      <c r="I300" s="11" t="str">
        <f>HYPERLINK("https://optomposuda.ru/product/elz-16-kovsh-16-sm-1-2l-indukciya-ruchka-s-softach-tyazhelaya","открыть")</f>
        <v>открыть</v>
      </c>
    </row>
    <row r="301" spans="1:9" x14ac:dyDescent="0.25">
      <c r="A301" t="s">
        <v>4228</v>
      </c>
      <c r="B301" t="s">
        <v>4229</v>
      </c>
      <c r="C301" t="s">
        <v>3649</v>
      </c>
      <c r="D301" s="8">
        <v>6</v>
      </c>
      <c r="E301" s="9">
        <v>944.88</v>
      </c>
      <c r="F301" s="8">
        <v>147</v>
      </c>
      <c r="G301" s="10"/>
      <c r="H301" s="9" t="str">
        <f>IF(G301="","",E301*G301)</f>
        <v/>
      </c>
      <c r="I301" s="11" t="str">
        <f>HYPERLINK("https://optomposuda.ru/product/elz-16-sr-kovsh-16-sm-1-2l-indukciya-semnaya-ruchka-s-softach-tyazhelaya","открыть")</f>
        <v>открыть</v>
      </c>
    </row>
    <row r="302" spans="1:9" x14ac:dyDescent="0.25">
      <c r="A302" t="s">
        <v>4230</v>
      </c>
      <c r="B302" t="s">
        <v>4231</v>
      </c>
      <c r="C302" t="s">
        <v>3649</v>
      </c>
      <c r="D302" s="8">
        <v>10</v>
      </c>
      <c r="E302" s="9">
        <v>1057.85</v>
      </c>
      <c r="F302" s="8">
        <v>370</v>
      </c>
      <c r="G302" s="10"/>
      <c r="H302" s="9" t="str">
        <f>IF(G302="","",E302*G302)</f>
        <v/>
      </c>
      <c r="I302" s="11" t="str">
        <f>HYPERLINK("https://optomposuda.ru/product/elz-18-kovsh-18-sm-1-5l-indukciya-ruchka-s-softach-tyazhelaya","открыть")</f>
        <v>открыть</v>
      </c>
    </row>
    <row r="303" spans="1:9" x14ac:dyDescent="0.25">
      <c r="A303" t="s">
        <v>4232</v>
      </c>
      <c r="B303" t="s">
        <v>4233</v>
      </c>
      <c r="C303" t="s">
        <v>3649</v>
      </c>
      <c r="D303" s="8">
        <v>10</v>
      </c>
      <c r="E303" s="9">
        <v>1124.54</v>
      </c>
      <c r="F303" s="8">
        <v>137</v>
      </c>
      <c r="G303" s="10"/>
      <c r="H303" s="9" t="str">
        <f>IF(G303="","",E303*G303)</f>
        <v/>
      </c>
      <c r="I303" s="11" t="str">
        <f>HYPERLINK("https://optomposuda.ru/product/elz-18-sr-kovsh-18-sm-1-5l-indukciya-semnaya-ruchka-s-softach-tyazhelaya","открыть")</f>
        <v>открыть</v>
      </c>
    </row>
    <row r="304" spans="1:9" x14ac:dyDescent="0.25">
      <c r="A304" t="s">
        <v>4234</v>
      </c>
      <c r="B304" t="s">
        <v>4235</v>
      </c>
      <c r="C304" t="s">
        <v>3649</v>
      </c>
      <c r="D304" s="8">
        <v>10</v>
      </c>
      <c r="E304" s="9">
        <v>1182.12</v>
      </c>
      <c r="F304" s="8">
        <v>167</v>
      </c>
      <c r="G304" s="10"/>
      <c r="H304" s="9" t="str">
        <f>IF(G304="","",E304*G304)</f>
        <v/>
      </c>
      <c r="I304" s="11" t="str">
        <f>HYPERLINK("https://optomposuda.ru/product/elz-2-k-kastryulya-20-sm-2l-indukciya-tyazhelaya","открыть")</f>
        <v>открыть</v>
      </c>
    </row>
    <row r="305" spans="1:9" x14ac:dyDescent="0.25">
      <c r="A305" t="s">
        <v>4236</v>
      </c>
      <c r="B305" t="s">
        <v>4237</v>
      </c>
      <c r="C305" t="s">
        <v>3649</v>
      </c>
      <c r="D305" s="8">
        <v>4</v>
      </c>
      <c r="E305" s="9">
        <v>991.31</v>
      </c>
      <c r="F305" s="8">
        <v>267</v>
      </c>
      <c r="G305" s="10"/>
      <c r="H305" s="9" t="str">
        <f>IF(G305="","",E305*G305)</f>
        <v/>
      </c>
      <c r="I305" s="11" t="str">
        <f>HYPERLINK("https://optomposuda.ru/product/elz-20-skovoroda-glubokaya-20sm-indukciya-ruchka-chern-s-softach-tyazhelaya-f-2","открыть")</f>
        <v>открыть</v>
      </c>
    </row>
    <row r="306" spans="1:9" x14ac:dyDescent="0.25">
      <c r="A306" t="s">
        <v>4238</v>
      </c>
      <c r="B306" t="s">
        <v>4239</v>
      </c>
      <c r="C306" t="s">
        <v>3649</v>
      </c>
      <c r="D306" s="8">
        <v>4</v>
      </c>
      <c r="E306" s="9">
        <v>1059.36</v>
      </c>
      <c r="F306" s="8">
        <v>199</v>
      </c>
      <c r="G306" s="10"/>
      <c r="H306" s="9" t="str">
        <f>IF(G306="","",E306*G306)</f>
        <v/>
      </c>
      <c r="I306" s="11" t="str">
        <f>HYPERLINK("https://optomposuda.ru/product/elz-20-sr-skovoroda-glubokaya-20sm-indukciya-semnaya-ruchka-chern-s-softach-tyazhelaya-f-2","открыть")</f>
        <v>открыть</v>
      </c>
    </row>
    <row r="307" spans="1:9" x14ac:dyDescent="0.25">
      <c r="A307" t="s">
        <v>4240</v>
      </c>
      <c r="B307" t="s">
        <v>4241</v>
      </c>
      <c r="C307" t="s">
        <v>3649</v>
      </c>
      <c r="D307" s="8">
        <v>4</v>
      </c>
      <c r="E307" s="9">
        <v>1021.25</v>
      </c>
      <c r="F307" s="8">
        <v>277</v>
      </c>
      <c r="G307" s="10"/>
      <c r="H307" s="9" t="str">
        <f>IF(G307="","",E307*G307)</f>
        <v/>
      </c>
      <c r="I307" s="11" t="str">
        <f>HYPERLINK("https://optomposuda.ru/product/elz-22-skovoroda-glubokaya-22sm-indukciya-ruchka-chern-s-softach-tyazhelaya-f-2","открыть")</f>
        <v>открыть</v>
      </c>
    </row>
    <row r="308" spans="1:9" x14ac:dyDescent="0.25">
      <c r="A308" t="s">
        <v>4242</v>
      </c>
      <c r="B308" t="s">
        <v>4243</v>
      </c>
      <c r="C308" t="s">
        <v>3649</v>
      </c>
      <c r="D308" s="8">
        <v>6</v>
      </c>
      <c r="E308" s="9">
        <v>913.73</v>
      </c>
      <c r="F308" s="8">
        <v>1085</v>
      </c>
      <c r="G308" s="10"/>
      <c r="H308" s="9" t="str">
        <f>IF(G308="","",E308*G308)</f>
        <v/>
      </c>
      <c r="I308" s="11" t="str">
        <f>HYPERLINK("https://optomposuda.ru/product/elz-22-b-skovoroda-dlya-blinov-22sm-indukciya-ruchka-chern-s-softach-tyazhelaya","открыть")</f>
        <v>открыть</v>
      </c>
    </row>
    <row r="309" spans="1:9" x14ac:dyDescent="0.25">
      <c r="A309" t="s">
        <v>4244</v>
      </c>
      <c r="B309" t="s">
        <v>4245</v>
      </c>
      <c r="C309" t="s">
        <v>3649</v>
      </c>
      <c r="D309" s="8">
        <v>4</v>
      </c>
      <c r="E309" s="9">
        <v>1087.94</v>
      </c>
      <c r="F309" s="8">
        <v>154</v>
      </c>
      <c r="G309" s="10"/>
      <c r="H309" s="9" t="str">
        <f>IF(G309="","",E309*G309)</f>
        <v/>
      </c>
      <c r="I309" s="11" t="str">
        <f>HYPERLINK("https://optomposuda.ru/product/elz-22-sr-skovoroda-glubokaya-22sm-indukciya-semnaya-ruchka-chern-s-softach-tyazhelaya-f-2","открыть")</f>
        <v>открыть</v>
      </c>
    </row>
    <row r="310" spans="1:9" x14ac:dyDescent="0.25">
      <c r="A310" t="s">
        <v>4156</v>
      </c>
      <c r="B310" t="s">
        <v>4246</v>
      </c>
      <c r="C310" t="s">
        <v>3649</v>
      </c>
      <c r="D310" s="8">
        <v>4</v>
      </c>
      <c r="E310" s="9">
        <v>1113.8</v>
      </c>
      <c r="F310" s="8">
        <v>273</v>
      </c>
      <c r="G310" s="10"/>
      <c r="H310" s="9" t="str">
        <f>IF(G310="","",E310*G310)</f>
        <v/>
      </c>
      <c r="I310" s="11" t="str">
        <f>HYPERLINK("https://optomposuda.ru/product/elz-24-skovoroda-glubokaya-24sm-indukciya-ruchka-chern-s-softach-tyazhelaya-f-2","открыть")</f>
        <v>открыть</v>
      </c>
    </row>
    <row r="311" spans="1:9" x14ac:dyDescent="0.25">
      <c r="A311" t="s">
        <v>4247</v>
      </c>
      <c r="B311" t="s">
        <v>4248</v>
      </c>
      <c r="C311" t="s">
        <v>3649</v>
      </c>
      <c r="D311" s="8">
        <v>4</v>
      </c>
      <c r="E311" s="9">
        <v>1183.21</v>
      </c>
      <c r="F311" s="8">
        <v>163</v>
      </c>
      <c r="G311" s="10"/>
      <c r="H311" s="9" t="str">
        <f>IF(G311="","",E311*G311)</f>
        <v/>
      </c>
      <c r="I311" s="11" t="str">
        <f>HYPERLINK("https://optomposuda.ru/product/elz-24-sr-skovoroda-glubokaya-24sm-indukciya-semnaya-ruchka-chern-s-softach-tyazhelaya-f-2","открыть")</f>
        <v>открыть</v>
      </c>
    </row>
    <row r="312" spans="1:9" x14ac:dyDescent="0.25">
      <c r="A312" t="s">
        <v>4158</v>
      </c>
      <c r="B312" t="s">
        <v>4249</v>
      </c>
      <c r="C312" t="s">
        <v>3649</v>
      </c>
      <c r="D312" s="8">
        <v>4</v>
      </c>
      <c r="E312" s="9">
        <v>1196.82</v>
      </c>
      <c r="F312" s="8">
        <v>263</v>
      </c>
      <c r="G312" s="10"/>
      <c r="H312" s="9" t="str">
        <f>IF(G312="","",E312*G312)</f>
        <v/>
      </c>
      <c r="I312" s="11" t="str">
        <f>HYPERLINK("https://optomposuda.ru/product/elz-26-skovoroda-glubokaya-26sm-indukciya-ruchka-chern-s-softach-tyazhelaya-f-2","открыть")</f>
        <v>открыть</v>
      </c>
    </row>
    <row r="313" spans="1:9" x14ac:dyDescent="0.25">
      <c r="A313" t="s">
        <v>4250</v>
      </c>
      <c r="B313" t="s">
        <v>4251</v>
      </c>
      <c r="C313" t="s">
        <v>3649</v>
      </c>
      <c r="D313" s="8">
        <v>6</v>
      </c>
      <c r="E313" s="9">
        <v>1071.61</v>
      </c>
      <c r="F313" s="8">
        <v>254</v>
      </c>
      <c r="G313" s="10"/>
      <c r="H313" s="9" t="str">
        <f>IF(G313="","",E313*G313)</f>
        <v/>
      </c>
      <c r="I313" s="11" t="str">
        <f>HYPERLINK("https://optomposuda.ru/product/elz-26-b-skovoroda-dlya-blinov-26sm-indukciya-ruchka-chern-s-softach-tyazhelaya","открыть")</f>
        <v>открыть</v>
      </c>
    </row>
    <row r="314" spans="1:9" x14ac:dyDescent="0.25">
      <c r="A314" t="s">
        <v>4252</v>
      </c>
      <c r="B314" t="s">
        <v>4253</v>
      </c>
      <c r="C314" t="s">
        <v>3649</v>
      </c>
      <c r="D314" s="8">
        <v>4</v>
      </c>
      <c r="E314" s="9">
        <v>1266.24</v>
      </c>
      <c r="F314" s="8">
        <v>116</v>
      </c>
      <c r="G314" s="10"/>
      <c r="H314" s="9" t="str">
        <f>IF(G314="","",E314*G314)</f>
        <v/>
      </c>
      <c r="I314" s="11" t="str">
        <f>HYPERLINK("https://optomposuda.ru/product/elz-26-sr-skovoroda-glubokaya-26sm-indukciya-semnaya-ruchka-chern-s-softach-tyazhelaya-f-2","открыть")</f>
        <v>открыть</v>
      </c>
    </row>
    <row r="315" spans="1:9" x14ac:dyDescent="0.25">
      <c r="A315" t="s">
        <v>4160</v>
      </c>
      <c r="B315" t="s">
        <v>4254</v>
      </c>
      <c r="C315" t="s">
        <v>3649</v>
      </c>
      <c r="D315" s="8">
        <v>4</v>
      </c>
      <c r="E315" s="9">
        <v>1251.27</v>
      </c>
      <c r="F315" s="8">
        <v>278</v>
      </c>
      <c r="G315" s="10"/>
      <c r="H315" s="9" t="str">
        <f>IF(G315="","",E315*G315)</f>
        <v/>
      </c>
      <c r="I315" s="11" t="str">
        <f>HYPERLINK("https://optomposuda.ru/product/elz-28-skovoroda-glubokaya-28sm-indukciya-ruchka-chern-s-softach-tyazhelaya-f-2","открыть")</f>
        <v>открыть</v>
      </c>
    </row>
    <row r="316" spans="1:9" x14ac:dyDescent="0.25">
      <c r="A316" t="s">
        <v>4255</v>
      </c>
      <c r="B316" t="s">
        <v>4256</v>
      </c>
      <c r="C316" t="s">
        <v>3649</v>
      </c>
      <c r="D316" s="8">
        <v>4</v>
      </c>
      <c r="E316" s="9">
        <v>1320.68</v>
      </c>
      <c r="F316" s="8">
        <v>97</v>
      </c>
      <c r="G316" s="10"/>
      <c r="H316" s="9" t="str">
        <f>IF(G316="","",E316*G316)</f>
        <v/>
      </c>
      <c r="I316" s="11" t="str">
        <f>HYPERLINK("https://optomposuda.ru/product/elz-28-sr-skovoroda-glubokaya-28sm-indukciya-semnaya-ruchka-chern-s-softach-tyazhelaya-f-2","открыть")</f>
        <v>открыть</v>
      </c>
    </row>
    <row r="317" spans="1:9" x14ac:dyDescent="0.25">
      <c r="A317" t="s">
        <v>4257</v>
      </c>
      <c r="B317" t="s">
        <v>4258</v>
      </c>
      <c r="C317" t="s">
        <v>3649</v>
      </c>
      <c r="D317" s="8">
        <v>5</v>
      </c>
      <c r="E317" s="9">
        <v>1276.13</v>
      </c>
      <c r="F317" s="8">
        <v>124</v>
      </c>
      <c r="G317" s="10"/>
      <c r="H317" s="9" t="str">
        <f>IF(G317="","",E317*G317)</f>
        <v/>
      </c>
      <c r="I317" s="11" t="str">
        <f>HYPERLINK("https://optomposuda.ru/product/elz-3-k-kastryulya-22-sm-3l-indukciya-tyazhelaya","открыть")</f>
        <v>открыть</v>
      </c>
    </row>
    <row r="318" spans="1:9" x14ac:dyDescent="0.25">
      <c r="A318" t="s">
        <v>4259</v>
      </c>
      <c r="B318" t="s">
        <v>4260</v>
      </c>
      <c r="C318" t="s">
        <v>3649</v>
      </c>
      <c r="D318" s="8">
        <v>5</v>
      </c>
      <c r="E318" s="9">
        <v>1358.41</v>
      </c>
      <c r="F318" s="8">
        <v>98</v>
      </c>
      <c r="G318" s="10"/>
      <c r="H318" s="9" t="str">
        <f>IF(G318="","",E318*G318)</f>
        <v/>
      </c>
      <c r="I318" s="11" t="str">
        <f>HYPERLINK("https://optomposuda.ru/product/elz-4-k-kastryulya-26-sm-4l-indukciya-tyazhelaya","открыть")</f>
        <v>открыть</v>
      </c>
    </row>
    <row r="319" spans="1:9" x14ac:dyDescent="0.25">
      <c r="A319" t="s">
        <v>4261</v>
      </c>
      <c r="B319" t="s">
        <v>4262</v>
      </c>
      <c r="C319" t="s">
        <v>3649</v>
      </c>
      <c r="D319" s="8">
        <v>5</v>
      </c>
      <c r="E319" s="9">
        <v>1573.45</v>
      </c>
      <c r="F319" s="8">
        <v>123</v>
      </c>
      <c r="G319" s="10"/>
      <c r="H319" s="9" t="str">
        <f>IF(G319="","",E319*G319)</f>
        <v/>
      </c>
      <c r="I319" s="11" t="str">
        <f>HYPERLINK("https://optomposuda.ru/product/elz-5-k-kastryulya-26-sm-5l-indukciya-tyazhelaya","открыть")</f>
        <v>открыть</v>
      </c>
    </row>
    <row r="320" spans="1:9" x14ac:dyDescent="0.25">
      <c r="A320" s="7" t="s">
        <v>74</v>
      </c>
      <c r="B320" s="7"/>
      <c r="C320" s="7"/>
      <c r="D320" s="7"/>
      <c r="E320" s="7"/>
      <c r="F320" s="7"/>
      <c r="G320" s="7"/>
      <c r="H320" s="7"/>
      <c r="I320" s="7"/>
    </row>
    <row r="321" spans="1:9" x14ac:dyDescent="0.25">
      <c r="A321" t="s">
        <v>4263</v>
      </c>
      <c r="B321" t="s">
        <v>4264</v>
      </c>
      <c r="C321" t="s">
        <v>3649</v>
      </c>
      <c r="D321" s="8">
        <v>4</v>
      </c>
      <c r="E321" s="9">
        <v>1099.8</v>
      </c>
      <c r="F321" s="8">
        <v>455</v>
      </c>
      <c r="G321" s="10"/>
      <c r="H321" s="9" t="str">
        <f>IF(G321="","",E321*G321)</f>
        <v/>
      </c>
      <c r="I321" s="11" t="str">
        <f>HYPERLINK("https://optomposuda.ru/product/dekanter-london-1850-ml","открыть")</f>
        <v>открыть</v>
      </c>
    </row>
    <row r="322" spans="1:9" x14ac:dyDescent="0.25">
      <c r="A322" t="s">
        <v>4265</v>
      </c>
      <c r="B322" t="s">
        <v>4266</v>
      </c>
      <c r="C322" t="s">
        <v>3649</v>
      </c>
      <c r="D322" s="8">
        <v>12</v>
      </c>
      <c r="E322" s="9">
        <v>760.93</v>
      </c>
      <c r="F322" s="8">
        <v>319</v>
      </c>
      <c r="G322" s="10"/>
      <c r="H322" s="9" t="str">
        <f>IF(G322="","",E322*G322)</f>
        <v/>
      </c>
      <c r="I322" s="11" t="str">
        <f>HYPERLINK("https://optomposuda.ru/product/zavarochnyy-chaynik-1000ml-iz-stekla","открыть")</f>
        <v>открыть</v>
      </c>
    </row>
    <row r="323" spans="1:9" x14ac:dyDescent="0.25">
      <c r="A323" t="s">
        <v>4267</v>
      </c>
      <c r="B323" t="s">
        <v>4268</v>
      </c>
      <c r="C323" t="s">
        <v>3649</v>
      </c>
      <c r="D323" s="8">
        <v>12</v>
      </c>
      <c r="E323" s="9">
        <v>894.3</v>
      </c>
      <c r="F323" s="8">
        <v>678</v>
      </c>
      <c r="G323" s="10"/>
      <c r="H323" s="9" t="str">
        <f>IF(G323="","",E323*G323)</f>
        <v/>
      </c>
      <c r="I323" s="11" t="str">
        <f>HYPERLINK("https://optomposuda.ru/product/zavarochnyy-chaynik-1500ml-iz-stekla","открыть")</f>
        <v>открыть</v>
      </c>
    </row>
    <row r="324" spans="1:9" x14ac:dyDescent="0.25">
      <c r="A324" t="s">
        <v>4269</v>
      </c>
      <c r="B324" t="s">
        <v>4270</v>
      </c>
      <c r="C324" t="s">
        <v>3649</v>
      </c>
      <c r="D324" s="8">
        <v>24</v>
      </c>
      <c r="E324" s="9">
        <v>612.24</v>
      </c>
      <c r="F324" s="8">
        <v>25</v>
      </c>
      <c r="G324" s="10"/>
      <c r="H324" s="9" t="str">
        <f>IF(G324="","",E324*G324)</f>
        <v/>
      </c>
      <c r="I324" s="11" t="str">
        <f>HYPERLINK("https://optomposuda.ru/product/zavarochnyy-chaynik-600ml-iz-stekla","открыть")</f>
        <v>открыть</v>
      </c>
    </row>
    <row r="325" spans="1:9" x14ac:dyDescent="0.25">
      <c r="A325" t="s">
        <v>4271</v>
      </c>
      <c r="B325" t="s">
        <v>4272</v>
      </c>
      <c r="C325" t="s">
        <v>3649</v>
      </c>
      <c r="D325" s="8">
        <v>12</v>
      </c>
      <c r="E325" s="9">
        <v>293.12</v>
      </c>
      <c r="F325" s="8">
        <v>969</v>
      </c>
      <c r="G325" s="10"/>
      <c r="H325" s="9" t="str">
        <f>IF(G325="","",E325*G325)</f>
        <v/>
      </c>
      <c r="I325" s="11" t="str">
        <f>HYPERLINK("https://optomposuda.ru/product/kruzhka-americano-370-ml-zelenaya","открыть")</f>
        <v>открыть</v>
      </c>
    </row>
    <row r="326" spans="1:9" x14ac:dyDescent="0.25">
      <c r="A326" t="s">
        <v>4273</v>
      </c>
      <c r="B326" t="s">
        <v>4274</v>
      </c>
      <c r="C326" t="s">
        <v>3649</v>
      </c>
      <c r="D326" s="8">
        <v>12</v>
      </c>
      <c r="E326" s="9">
        <v>334.99</v>
      </c>
      <c r="F326" s="8">
        <v>1492</v>
      </c>
      <c r="G326" s="10"/>
      <c r="H326" s="9" t="str">
        <f>IF(G326="","",E326*G326)</f>
        <v/>
      </c>
      <c r="I326" s="11" t="str">
        <f>HYPERLINK("https://optomposuda.ru/product/kruzhka-americano-400-ml-zelenaya","открыть")</f>
        <v>открыть</v>
      </c>
    </row>
    <row r="327" spans="1:9" x14ac:dyDescent="0.25">
      <c r="A327" t="s">
        <v>4275</v>
      </c>
      <c r="B327" t="s">
        <v>4276</v>
      </c>
      <c r="C327" t="s">
        <v>3649</v>
      </c>
      <c r="D327" s="8">
        <v>12</v>
      </c>
      <c r="E327" s="9">
        <v>354.32</v>
      </c>
      <c r="F327" s="8">
        <v>1199</v>
      </c>
      <c r="G327" s="10"/>
      <c r="H327" s="9" t="str">
        <f>IF(G327="","",E327*G327)</f>
        <v/>
      </c>
      <c r="I327" s="11" t="str">
        <f>HYPERLINK("https://optomposuda.ru/product/kruzhka-americano-500-ml-zelenaya","открыть")</f>
        <v>открыть</v>
      </c>
    </row>
    <row r="328" spans="1:9" x14ac:dyDescent="0.25">
      <c r="A328" t="s">
        <v>4277</v>
      </c>
      <c r="B328" t="s">
        <v>4278</v>
      </c>
      <c r="C328" t="s">
        <v>3649</v>
      </c>
      <c r="D328" s="8">
        <v>12</v>
      </c>
      <c r="E328" s="9">
        <v>293.12</v>
      </c>
      <c r="F328" s="8">
        <v>970</v>
      </c>
      <c r="G328" s="10"/>
      <c r="H328" s="9" t="str">
        <f>IF(G328="","",E328*G328)</f>
        <v/>
      </c>
      <c r="I328" s="11" t="str">
        <f>HYPERLINK("https://optomposuda.ru/product/kruzhka-cappuccino-370-ml-korichnevaya","открыть")</f>
        <v>открыть</v>
      </c>
    </row>
    <row r="329" spans="1:9" x14ac:dyDescent="0.25">
      <c r="A329" t="s">
        <v>4279</v>
      </c>
      <c r="B329" t="s">
        <v>4280</v>
      </c>
      <c r="C329" t="s">
        <v>3649</v>
      </c>
      <c r="D329" s="8">
        <v>12</v>
      </c>
      <c r="E329" s="9">
        <v>334.99</v>
      </c>
      <c r="F329" s="8">
        <v>1491</v>
      </c>
      <c r="G329" s="10"/>
      <c r="H329" s="9" t="str">
        <f>IF(G329="","",E329*G329)</f>
        <v/>
      </c>
      <c r="I329" s="11" t="str">
        <f>HYPERLINK("https://optomposuda.ru/product/kruzhka-cappuccino-400-ml-korichnevaya","открыть")</f>
        <v>открыть</v>
      </c>
    </row>
    <row r="330" spans="1:9" x14ac:dyDescent="0.25">
      <c r="A330" t="s">
        <v>4281</v>
      </c>
      <c r="B330" t="s">
        <v>4282</v>
      </c>
      <c r="C330" t="s">
        <v>3649</v>
      </c>
      <c r="D330" s="8">
        <v>12</v>
      </c>
      <c r="E330" s="9">
        <v>354.32</v>
      </c>
      <c r="F330" s="8">
        <v>1177</v>
      </c>
      <c r="G330" s="10"/>
      <c r="H330" s="9" t="str">
        <f>IF(G330="","",E330*G330)</f>
        <v/>
      </c>
      <c r="I330" s="11" t="str">
        <f>HYPERLINK("https://optomposuda.ru/product/kruzhka-cappuccino-500-ml-korichnevaya","открыть")</f>
        <v>открыть</v>
      </c>
    </row>
    <row r="331" spans="1:9" x14ac:dyDescent="0.25">
      <c r="A331" t="s">
        <v>4283</v>
      </c>
      <c r="B331" t="s">
        <v>4284</v>
      </c>
      <c r="C331" t="s">
        <v>3649</v>
      </c>
      <c r="D331" s="8">
        <v>12</v>
      </c>
      <c r="E331" s="9">
        <v>293.12</v>
      </c>
      <c r="F331" s="8">
        <v>967</v>
      </c>
      <c r="G331" s="10"/>
      <c r="H331" s="9" t="str">
        <f>IF(G331="","",E331*G331)</f>
        <v/>
      </c>
      <c r="I331" s="11" t="str">
        <f>HYPERLINK("https://optomposuda.ru/product/kruzhka-latte-370-ml-bezhevaya","открыть")</f>
        <v>открыть</v>
      </c>
    </row>
    <row r="332" spans="1:9" x14ac:dyDescent="0.25">
      <c r="A332" t="s">
        <v>4285</v>
      </c>
      <c r="B332" t="s">
        <v>4286</v>
      </c>
      <c r="C332" t="s">
        <v>3649</v>
      </c>
      <c r="D332" s="8">
        <v>12</v>
      </c>
      <c r="E332" s="9">
        <v>334.99</v>
      </c>
      <c r="F332" s="8">
        <v>1488</v>
      </c>
      <c r="G332" s="10"/>
      <c r="H332" s="9" t="str">
        <f>IF(G332="","",E332*G332)</f>
        <v/>
      </c>
      <c r="I332" s="11" t="str">
        <f>HYPERLINK("https://optomposuda.ru/product/kruzhka-latte-400-ml-bezhevaya","открыть")</f>
        <v>открыть</v>
      </c>
    </row>
    <row r="333" spans="1:9" x14ac:dyDescent="0.25">
      <c r="A333" t="s">
        <v>4287</v>
      </c>
      <c r="B333" t="s">
        <v>4288</v>
      </c>
      <c r="C333" t="s">
        <v>3649</v>
      </c>
      <c r="D333" s="8">
        <v>12</v>
      </c>
      <c r="E333" s="9">
        <v>354.32</v>
      </c>
      <c r="F333" s="8">
        <v>1109</v>
      </c>
      <c r="G333" s="10"/>
      <c r="H333" s="9" t="str">
        <f>IF(G333="","",E333*G333)</f>
        <v/>
      </c>
      <c r="I333" s="11" t="str">
        <f>HYPERLINK("https://optomposuda.ru/product/kruzhka-latte-500-ml-bezhevaya","открыть")</f>
        <v>открыть</v>
      </c>
    </row>
    <row r="334" spans="1:9" x14ac:dyDescent="0.25">
      <c r="A334" t="s">
        <v>4289</v>
      </c>
      <c r="B334" t="s">
        <v>4290</v>
      </c>
      <c r="C334" t="s">
        <v>3649</v>
      </c>
      <c r="D334" s="8">
        <v>12</v>
      </c>
      <c r="E334" s="9">
        <v>354.32</v>
      </c>
      <c r="F334" s="8">
        <v>1438</v>
      </c>
      <c r="G334" s="10"/>
      <c r="H334" s="9" t="str">
        <f>IF(G334="","",E334*G334)</f>
        <v/>
      </c>
      <c r="I334" s="11" t="str">
        <f>HYPERLINK("https://optomposuda.ru/product/kruzhka-oolong-tea-540-ml-bezhevaya","открыть")</f>
        <v>открыть</v>
      </c>
    </row>
    <row r="335" spans="1:9" x14ac:dyDescent="0.25">
      <c r="A335" t="s">
        <v>4291</v>
      </c>
      <c r="B335" t="s">
        <v>4292</v>
      </c>
      <c r="C335" t="s">
        <v>3649</v>
      </c>
      <c r="D335" s="8">
        <v>12</v>
      </c>
      <c r="E335" s="9">
        <v>293.12</v>
      </c>
      <c r="F335" s="8">
        <v>972</v>
      </c>
      <c r="G335" s="10"/>
      <c r="H335" s="9" t="str">
        <f>IF(G335="","",E335*G335)</f>
        <v/>
      </c>
      <c r="I335" s="11" t="str">
        <f>HYPERLINK("https://optomposuda.ru/product/kruzhka-raf-370-ml-sinyaya","открыть")</f>
        <v>открыть</v>
      </c>
    </row>
    <row r="336" spans="1:9" x14ac:dyDescent="0.25">
      <c r="A336" t="s">
        <v>4293</v>
      </c>
      <c r="B336" t="s">
        <v>4294</v>
      </c>
      <c r="C336" t="s">
        <v>3649</v>
      </c>
      <c r="D336" s="8">
        <v>12</v>
      </c>
      <c r="E336" s="9">
        <v>334.99</v>
      </c>
      <c r="F336" s="8">
        <v>1491</v>
      </c>
      <c r="G336" s="10"/>
      <c r="H336" s="9" t="str">
        <f>IF(G336="","",E336*G336)</f>
        <v/>
      </c>
      <c r="I336" s="11" t="str">
        <f>HYPERLINK("https://optomposuda.ru/product/kruzhka-raf-400-ml-sinyaya","открыть")</f>
        <v>открыть</v>
      </c>
    </row>
    <row r="337" spans="1:9" x14ac:dyDescent="0.25">
      <c r="A337" t="s">
        <v>4295</v>
      </c>
      <c r="B337" t="s">
        <v>4296</v>
      </c>
      <c r="C337" t="s">
        <v>3649</v>
      </c>
      <c r="D337" s="8">
        <v>12</v>
      </c>
      <c r="E337" s="9">
        <v>354.32</v>
      </c>
      <c r="F337" s="8">
        <v>1195</v>
      </c>
      <c r="G337" s="10"/>
      <c r="H337" s="9" t="str">
        <f>IF(G337="","",E337*G337)</f>
        <v/>
      </c>
      <c r="I337" s="11" t="str">
        <f>HYPERLINK("https://optomposuda.ru/product/kruzhka-raf-500-ml-sinyaya","открыть")</f>
        <v>открыть</v>
      </c>
    </row>
    <row r="338" spans="1:9" x14ac:dyDescent="0.25">
      <c r="A338" t="s">
        <v>4297</v>
      </c>
      <c r="B338" t="s">
        <v>4298</v>
      </c>
      <c r="C338" t="s">
        <v>3649</v>
      </c>
      <c r="D338" s="8">
        <v>4</v>
      </c>
      <c r="E338" s="9">
        <v>2704.42</v>
      </c>
      <c r="F338" s="8">
        <v>25</v>
      </c>
      <c r="G338" s="10"/>
      <c r="H338" s="9" t="str">
        <f>IF(G338="","",E338*G338)</f>
        <v/>
      </c>
      <c r="I338" s="11" t="str">
        <f>HYPERLINK("https://optomposuda.ru/product/nabor-bokalov-dlya-vina-zoloto-385-ml-6-sht","открыть")</f>
        <v>открыть</v>
      </c>
    </row>
    <row r="339" spans="1:9" x14ac:dyDescent="0.25">
      <c r="A339" t="s">
        <v>4299</v>
      </c>
      <c r="B339" t="s">
        <v>4300</v>
      </c>
      <c r="C339" t="s">
        <v>3649</v>
      </c>
      <c r="D339" s="8">
        <v>4</v>
      </c>
      <c r="E339" s="9">
        <v>2381.81</v>
      </c>
      <c r="F339" s="8">
        <v>74</v>
      </c>
      <c r="G339" s="10"/>
      <c r="H339" s="9" t="str">
        <f>IF(G339="","",E339*G339)</f>
        <v/>
      </c>
      <c r="I339" s="11" t="str">
        <f>HYPERLINK("https://optomposuda.ru/product/nabor-bokalov-dlya-vina-pylnaya-roza-450-ml-6-sht","открыть")</f>
        <v>открыть</v>
      </c>
    </row>
    <row r="340" spans="1:9" x14ac:dyDescent="0.25">
      <c r="A340" t="s">
        <v>4301</v>
      </c>
      <c r="B340" t="s">
        <v>4302</v>
      </c>
      <c r="C340" t="s">
        <v>3649</v>
      </c>
      <c r="D340" s="8">
        <v>2</v>
      </c>
      <c r="E340" s="9">
        <v>2411.14</v>
      </c>
      <c r="F340" s="8">
        <v>76</v>
      </c>
      <c r="G340" s="10"/>
      <c r="H340" s="9" t="str">
        <f>IF(G340="","",E340*G340)</f>
        <v/>
      </c>
      <c r="I340" s="11" t="str">
        <f>HYPERLINK("https://optomposuda.ru/product/nabor-bokalov-dlya-vina-pylnaya-roza-580-ml-6-sht","открыть")</f>
        <v>открыть</v>
      </c>
    </row>
    <row r="341" spans="1:9" x14ac:dyDescent="0.25">
      <c r="A341" t="s">
        <v>4303</v>
      </c>
      <c r="B341" t="s">
        <v>4304</v>
      </c>
      <c r="C341" t="s">
        <v>3649</v>
      </c>
      <c r="D341" s="8">
        <v>8</v>
      </c>
      <c r="E341" s="9">
        <v>2704.42</v>
      </c>
      <c r="F341" s="8">
        <v>26</v>
      </c>
      <c r="G341" s="10"/>
      <c r="H341" s="9" t="str">
        <f>IF(G341="","",E341*G341)</f>
        <v/>
      </c>
      <c r="I341" s="11" t="str">
        <f>HYPERLINK("https://optomposuda.ru/product/nabor-bokalov-dlya-shampanskogo-zoloto-235-ml-6-sht","открыть")</f>
        <v>открыть</v>
      </c>
    </row>
    <row r="342" spans="1:9" x14ac:dyDescent="0.25">
      <c r="A342" t="s">
        <v>4305</v>
      </c>
      <c r="B342" t="s">
        <v>4306</v>
      </c>
      <c r="C342" t="s">
        <v>3649</v>
      </c>
      <c r="D342" s="8">
        <v>8</v>
      </c>
      <c r="E342" s="9">
        <v>2381.81</v>
      </c>
      <c r="F342" s="8">
        <v>80</v>
      </c>
      <c r="G342" s="10"/>
      <c r="H342" s="9" t="str">
        <f>IF(G342="","",E342*G342)</f>
        <v/>
      </c>
      <c r="I342" s="11" t="str">
        <f>HYPERLINK("https://optomposuda.ru/product/nabor-bokalov-dlya-shampanskogo-pylnaya-roza-185-ml-6-sht","открыть")</f>
        <v>открыть</v>
      </c>
    </row>
    <row r="343" spans="1:9" x14ac:dyDescent="0.25">
      <c r="A343" t="s">
        <v>4307</v>
      </c>
      <c r="B343" t="s">
        <v>4308</v>
      </c>
      <c r="C343" t="s">
        <v>3649</v>
      </c>
      <c r="D343" s="8">
        <v>12</v>
      </c>
      <c r="E343" s="9">
        <v>1154.09</v>
      </c>
      <c r="F343" s="8">
        <v>693</v>
      </c>
      <c r="G343" s="10"/>
      <c r="H343" s="9" t="str">
        <f>IF(G343="","",E343*G343)</f>
        <v/>
      </c>
      <c r="I343" s="11" t="str">
        <f>HYPERLINK("https://optomposuda.ru/product/nabor-iz-2-h-bokalov-dlya-vina-london-455-ml","открыть")</f>
        <v>открыть</v>
      </c>
    </row>
    <row r="344" spans="1:9" x14ac:dyDescent="0.25">
      <c r="A344" t="s">
        <v>4309</v>
      </c>
      <c r="B344" t="s">
        <v>4310</v>
      </c>
      <c r="C344" t="s">
        <v>3649</v>
      </c>
      <c r="D344" s="8">
        <v>6</v>
      </c>
      <c r="E344" s="9">
        <v>1246.6</v>
      </c>
      <c r="F344" s="8">
        <v>973</v>
      </c>
      <c r="G344" s="10"/>
      <c r="H344" s="9" t="str">
        <f>IF(G344="","",E344*G344)</f>
        <v/>
      </c>
      <c r="I344" s="11" t="str">
        <f>HYPERLINK("https://optomposuda.ru/product/nabor-iz-2-h-bokalov-dlya-vina-london-735-ml","открыть")</f>
        <v>открыть</v>
      </c>
    </row>
    <row r="345" spans="1:9" x14ac:dyDescent="0.25">
      <c r="A345" t="s">
        <v>4311</v>
      </c>
      <c r="B345" t="s">
        <v>4312</v>
      </c>
      <c r="C345" t="s">
        <v>3649</v>
      </c>
      <c r="D345" s="8">
        <v>60</v>
      </c>
      <c r="E345" s="9">
        <v>69.98</v>
      </c>
      <c r="F345" s="8">
        <v>4</v>
      </c>
      <c r="G345" s="10"/>
      <c r="H345" s="9" t="str">
        <f>IF(G345="","",E345*G345)</f>
        <v/>
      </c>
      <c r="I345" s="11" t="str">
        <f>HYPERLINK("https://optomposuda.ru/product/sitechko-dlya-chaya","открыть")</f>
        <v>открыть</v>
      </c>
    </row>
    <row r="346" spans="1:9" x14ac:dyDescent="0.25">
      <c r="A346" t="s">
        <v>4313</v>
      </c>
      <c r="B346" t="s">
        <v>4314</v>
      </c>
      <c r="C346" t="s">
        <v>3649</v>
      </c>
      <c r="D346" s="8">
        <v>1</v>
      </c>
      <c r="E346" s="9">
        <v>67.29</v>
      </c>
      <c r="F346" s="8">
        <v>900</v>
      </c>
      <c r="G346" s="10"/>
      <c r="H346" s="9" t="str">
        <f>IF(G346="","",E346*G346)</f>
        <v/>
      </c>
      <c r="I346" s="11" t="str">
        <f>HYPERLINK("https://optomposuda.ru/product/termosalfetki-45-30-100sht-v-kor-xh0008-1-z","открыть")</f>
        <v>открыть</v>
      </c>
    </row>
    <row r="347" spans="1:9" x14ac:dyDescent="0.25">
      <c r="A347" t="s">
        <v>4315</v>
      </c>
      <c r="B347" t="s">
        <v>4316</v>
      </c>
      <c r="C347" t="s">
        <v>3649</v>
      </c>
      <c r="D347" s="8">
        <v>1</v>
      </c>
      <c r="E347" s="9">
        <v>67.29</v>
      </c>
      <c r="F347" s="8">
        <v>1103</v>
      </c>
      <c r="G347" s="10"/>
      <c r="H347" s="9" t="str">
        <f>IF(G347="","",E347*G347)</f>
        <v/>
      </c>
      <c r="I347" s="11" t="str">
        <f>HYPERLINK("https://optomposuda.ru/product/termosalfetki-45-30-100sht-v-kor-xh0008-1-o","открыть")</f>
        <v>открыть</v>
      </c>
    </row>
    <row r="348" spans="1:9" x14ac:dyDescent="0.25">
      <c r="A348" t="s">
        <v>4317</v>
      </c>
      <c r="B348" t="s">
        <v>4318</v>
      </c>
      <c r="C348" t="s">
        <v>3649</v>
      </c>
      <c r="D348" s="8">
        <v>1</v>
      </c>
      <c r="E348" s="9">
        <v>67.29</v>
      </c>
      <c r="F348" s="8">
        <v>3</v>
      </c>
      <c r="G348" s="10"/>
      <c r="H348" s="9" t="str">
        <f>IF(G348="","",E348*G348)</f>
        <v/>
      </c>
      <c r="I348" s="11" t="str">
        <f>HYPERLINK("https://optomposuda.ru/product/termosalfetki-45-30-s-100sht-v-kor-xh0008-5-s-temno-serye","открыть")</f>
        <v>открыть</v>
      </c>
    </row>
    <row r="349" spans="1:9" x14ac:dyDescent="0.25">
      <c r="A349" t="s">
        <v>4319</v>
      </c>
      <c r="B349" t="s">
        <v>4320</v>
      </c>
      <c r="C349" t="s">
        <v>3649</v>
      </c>
      <c r="D349" s="8">
        <v>1</v>
      </c>
      <c r="E349" s="9">
        <v>67.29</v>
      </c>
      <c r="F349" s="8">
        <v>3</v>
      </c>
      <c r="G349" s="10"/>
      <c r="H349" s="9" t="str">
        <f>IF(G349="","",E349*G349)</f>
        <v/>
      </c>
      <c r="I349" s="11" t="str">
        <f>HYPERLINK("https://optomposuda.ru/product/termosalfetki-45-30-sk-100sht-v-kor-xh0008-2-sk-svetlo-korichnevye","открыть")</f>
        <v>открыть</v>
      </c>
    </row>
    <row r="350" spans="1:9" x14ac:dyDescent="0.25">
      <c r="A350" t="s">
        <v>4321</v>
      </c>
      <c r="B350" t="s">
        <v>4322</v>
      </c>
      <c r="C350" t="s">
        <v>3649</v>
      </c>
      <c r="D350" s="8">
        <v>1</v>
      </c>
      <c r="E350" s="9">
        <v>55.31</v>
      </c>
      <c r="F350" s="8">
        <v>513</v>
      </c>
      <c r="G350" s="10"/>
      <c r="H350" s="9" t="str">
        <f>IF(G350="","",E350*G350)</f>
        <v/>
      </c>
      <c r="I350" s="11" t="str">
        <f>HYPERLINK("https://optomposuda.ru/product/termosalfetki-d-30-144sht-v-kor-1kor-xh0009-3","открыть")</f>
        <v>открыть</v>
      </c>
    </row>
    <row r="351" spans="1:9" x14ac:dyDescent="0.25">
      <c r="A351" t="s">
        <v>4323</v>
      </c>
      <c r="B351" t="s">
        <v>4324</v>
      </c>
      <c r="C351" t="s">
        <v>3649</v>
      </c>
      <c r="D351" s="8">
        <v>30</v>
      </c>
      <c r="E351" s="9">
        <v>517.12</v>
      </c>
      <c r="F351" s="8">
        <v>50</v>
      </c>
      <c r="G351" s="10"/>
      <c r="H351" s="9" t="str">
        <f>IF(G351="","",E351*G351)</f>
        <v/>
      </c>
      <c r="I351" s="11" t="str">
        <f>HYPERLINK("https://optomposuda.ru/product/french-press-350-ml-iz-stekla-nerzhaveyuschaya-stal-stali-bronzovogo-cveta","открыть")</f>
        <v>открыть</v>
      </c>
    </row>
    <row r="352" spans="1:9" x14ac:dyDescent="0.25">
      <c r="A352" t="s">
        <v>4325</v>
      </c>
      <c r="B352" t="s">
        <v>4326</v>
      </c>
      <c r="C352" t="s">
        <v>3649</v>
      </c>
      <c r="D352" s="8">
        <v>30</v>
      </c>
      <c r="E352" s="9">
        <v>430.94</v>
      </c>
      <c r="F352" s="8">
        <v>422</v>
      </c>
      <c r="G352" s="10"/>
      <c r="H352" s="9" t="str">
        <f>IF(G352="","",E352*G352)</f>
        <v/>
      </c>
      <c r="I352" s="11" t="str">
        <f>HYPERLINK("https://optomposuda.ru/product/french-press-350ml-iz-nerzhaveyuschaya-stal-stali-i-stekla","открыть")</f>
        <v>открыть</v>
      </c>
    </row>
    <row r="353" spans="1:9" x14ac:dyDescent="0.25">
      <c r="A353" t="s">
        <v>4327</v>
      </c>
      <c r="B353" t="s">
        <v>4328</v>
      </c>
      <c r="C353" t="s">
        <v>3649</v>
      </c>
      <c r="D353" s="8">
        <v>24</v>
      </c>
      <c r="E353" s="9">
        <v>476.63</v>
      </c>
      <c r="F353" s="8">
        <v>913</v>
      </c>
      <c r="G353" s="10"/>
      <c r="H353" s="9" t="str">
        <f>IF(G353="","",E353*G353)</f>
        <v/>
      </c>
      <c r="I353" s="11" t="str">
        <f>HYPERLINK("https://optomposuda.ru/product/french-press-600ml-iz-nerzhaveyuschaya-stal-stali-i-stekla","открыть")</f>
        <v>открыть</v>
      </c>
    </row>
    <row r="354" spans="1:9" x14ac:dyDescent="0.25">
      <c r="A354" t="s">
        <v>4329</v>
      </c>
      <c r="B354" t="s">
        <v>4330</v>
      </c>
      <c r="C354" t="s">
        <v>3649</v>
      </c>
      <c r="D354" s="8">
        <v>24</v>
      </c>
      <c r="E354" s="9">
        <v>537.9</v>
      </c>
      <c r="F354" s="8">
        <v>586</v>
      </c>
      <c r="G354" s="10"/>
      <c r="H354" s="9" t="str">
        <f>IF(G354="","",E354*G354)</f>
        <v/>
      </c>
      <c r="I354" s="11" t="str">
        <f>HYPERLINK("https://optomposuda.ru/product/french-press-800ml-iz-stekla-i-nerzhaveyuschaya-stal-stali","открыть")</f>
        <v>открыть</v>
      </c>
    </row>
    <row r="355" spans="1:9" x14ac:dyDescent="0.25">
      <c r="A355" t="s">
        <v>4331</v>
      </c>
      <c r="B355" t="s">
        <v>4332</v>
      </c>
      <c r="C355" t="s">
        <v>3649</v>
      </c>
      <c r="D355" s="8">
        <v>12</v>
      </c>
      <c r="E355" s="9">
        <v>467.06</v>
      </c>
      <c r="F355" s="8">
        <v>1379</v>
      </c>
      <c r="G355" s="10"/>
      <c r="H355" s="9" t="str">
        <f>IF(G355="","",E355*G355)</f>
        <v/>
      </c>
      <c r="I355" s="11" t="str">
        <f>HYPERLINK("https://optomposuda.ru/product/chaynaya-para-cappuccino-320-ml-korichnevaya","открыть")</f>
        <v>открыть</v>
      </c>
    </row>
    <row r="356" spans="1:9" x14ac:dyDescent="0.25">
      <c r="A356" t="s">
        <v>4333</v>
      </c>
      <c r="B356" t="s">
        <v>4334</v>
      </c>
      <c r="C356" t="s">
        <v>3649</v>
      </c>
      <c r="D356" s="8">
        <v>12</v>
      </c>
      <c r="E356" s="9">
        <v>467.06</v>
      </c>
      <c r="F356" s="8">
        <v>1405</v>
      </c>
      <c r="G356" s="10"/>
      <c r="H356" s="9" t="str">
        <f>IF(G356="","",E356*G356)</f>
        <v/>
      </c>
      <c r="I356" s="11" t="str">
        <f>HYPERLINK("https://optomposuda.ru/product/chaynaya-para-latte-320-ml-bezhevaya","открыть")</f>
        <v>открыть</v>
      </c>
    </row>
    <row r="357" spans="1:9" x14ac:dyDescent="0.25">
      <c r="A357" t="s">
        <v>4335</v>
      </c>
      <c r="B357" t="s">
        <v>4336</v>
      </c>
      <c r="C357" t="s">
        <v>3649</v>
      </c>
      <c r="D357" s="8">
        <v>12</v>
      </c>
      <c r="E357" s="9">
        <v>1062.98</v>
      </c>
      <c r="F357" s="8">
        <v>723</v>
      </c>
      <c r="G357" s="10"/>
      <c r="H357" s="9" t="str">
        <f>IF(G357="","",E357*G357)</f>
        <v/>
      </c>
      <c r="I357" s="11" t="str">
        <f>HYPERLINK("https://optomposuda.ru/product/chaynik-zavarochnyy-1000-ml-bezhevyy","открыть")</f>
        <v>открыть</v>
      </c>
    </row>
    <row r="358" spans="1:9" x14ac:dyDescent="0.25">
      <c r="A358" t="s">
        <v>4337</v>
      </c>
      <c r="B358" t="s">
        <v>4338</v>
      </c>
      <c r="C358" t="s">
        <v>3649</v>
      </c>
      <c r="D358" s="8">
        <v>12</v>
      </c>
      <c r="E358" s="9">
        <v>1062.98</v>
      </c>
      <c r="F358" s="8">
        <v>724</v>
      </c>
      <c r="G358" s="10"/>
      <c r="H358" s="9" t="str">
        <f>IF(G358="","",E358*G358)</f>
        <v/>
      </c>
      <c r="I358" s="11" t="str">
        <f>HYPERLINK("https://optomposuda.ru/product/chaynik-zavarochnyy-1000-ml-zelenyy","открыть")</f>
        <v>открыть</v>
      </c>
    </row>
    <row r="359" spans="1:9" x14ac:dyDescent="0.25">
      <c r="A359" t="s">
        <v>4339</v>
      </c>
      <c r="B359" t="s">
        <v>4340</v>
      </c>
      <c r="C359" t="s">
        <v>3649</v>
      </c>
      <c r="D359" s="8">
        <v>12</v>
      </c>
      <c r="E359" s="9">
        <v>1062.98</v>
      </c>
      <c r="F359" s="8">
        <v>724</v>
      </c>
      <c r="G359" s="10"/>
      <c r="H359" s="9" t="str">
        <f>IF(G359="","",E359*G359)</f>
        <v/>
      </c>
      <c r="I359" s="11" t="str">
        <f>HYPERLINK("https://optomposuda.ru/product/chaynik-zavarochnyy-1000-ml-korichnevyy","открыть")</f>
        <v>открыть</v>
      </c>
    </row>
    <row r="360" spans="1:9" x14ac:dyDescent="0.25">
      <c r="A360" t="s">
        <v>4341</v>
      </c>
      <c r="B360" t="s">
        <v>4342</v>
      </c>
      <c r="C360" t="s">
        <v>3649</v>
      </c>
      <c r="D360" s="8">
        <v>12</v>
      </c>
      <c r="E360" s="9">
        <v>1062.98</v>
      </c>
      <c r="F360" s="8">
        <v>726</v>
      </c>
      <c r="G360" s="10"/>
      <c r="H360" s="9" t="str">
        <f>IF(G360="","",E360*G360)</f>
        <v/>
      </c>
      <c r="I360" s="11" t="str">
        <f>HYPERLINK("https://optomposuda.ru/product/chaynik-zavarochnyy-1000-ml-siniy","открыть")</f>
        <v>открыть</v>
      </c>
    </row>
    <row r="361" spans="1:9" x14ac:dyDescent="0.25">
      <c r="A361" t="s">
        <v>4343</v>
      </c>
      <c r="B361" t="s">
        <v>4344</v>
      </c>
      <c r="C361" t="s">
        <v>3649</v>
      </c>
      <c r="D361" s="8">
        <v>12</v>
      </c>
      <c r="E361" s="9">
        <v>289.9</v>
      </c>
      <c r="F361" s="8">
        <v>955</v>
      </c>
      <c r="G361" s="10"/>
      <c r="H361" s="9" t="str">
        <f>IF(G361="","",E361*G361)</f>
        <v/>
      </c>
      <c r="I361" s="11" t="str">
        <f>HYPERLINK("https://optomposuda.ru/product/chashka-americano-340-ml-sinyaya","открыть")</f>
        <v>открыть</v>
      </c>
    </row>
    <row r="362" spans="1:9" x14ac:dyDescent="0.25">
      <c r="A362" t="s">
        <v>4345</v>
      </c>
      <c r="B362" t="s">
        <v>4346</v>
      </c>
      <c r="C362" t="s">
        <v>3649</v>
      </c>
      <c r="D362" s="8">
        <v>12</v>
      </c>
      <c r="E362" s="9">
        <v>354.32</v>
      </c>
      <c r="F362" s="8">
        <v>1150</v>
      </c>
      <c r="G362" s="10"/>
      <c r="H362" s="9" t="str">
        <f>IF(G362="","",E362*G362)</f>
        <v/>
      </c>
      <c r="I362" s="11" t="str">
        <f>HYPERLINK("https://optomposuda.ru/product/chashka-black-tea-540-ml-korichnevaya","открыть")</f>
        <v>открыть</v>
      </c>
    </row>
    <row r="363" spans="1:9" x14ac:dyDescent="0.25">
      <c r="A363" t="s">
        <v>4347</v>
      </c>
      <c r="B363" t="s">
        <v>4348</v>
      </c>
      <c r="C363" t="s">
        <v>3649</v>
      </c>
      <c r="D363" s="8">
        <v>12</v>
      </c>
      <c r="E363" s="9">
        <v>289.9</v>
      </c>
      <c r="F363" s="8">
        <v>952</v>
      </c>
      <c r="G363" s="10"/>
      <c r="H363" s="9" t="str">
        <f>IF(G363="","",E363*G363)</f>
        <v/>
      </c>
      <c r="I363" s="11" t="str">
        <f>HYPERLINK("https://optomposuda.ru/product/chashka-coffee-340-ml-korichnevaya","открыть")</f>
        <v>открыть</v>
      </c>
    </row>
    <row r="364" spans="1:9" x14ac:dyDescent="0.25">
      <c r="A364" t="s">
        <v>4349</v>
      </c>
      <c r="B364" t="s">
        <v>4350</v>
      </c>
      <c r="C364" t="s">
        <v>3649</v>
      </c>
      <c r="D364" s="8">
        <v>12</v>
      </c>
      <c r="E364" s="9">
        <v>277.02</v>
      </c>
      <c r="F364" s="8">
        <v>957</v>
      </c>
      <c r="G364" s="10"/>
      <c r="H364" s="9" t="str">
        <f>IF(G364="","",E364*G364)</f>
        <v/>
      </c>
      <c r="I364" s="11" t="str">
        <f>HYPERLINK("https://optomposuda.ru/product/chashka-green-tea-320-ml-zelenaya","открыть")</f>
        <v>открыть</v>
      </c>
    </row>
    <row r="365" spans="1:9" x14ac:dyDescent="0.25">
      <c r="A365" t="s">
        <v>4351</v>
      </c>
      <c r="B365" t="s">
        <v>4352</v>
      </c>
      <c r="C365" t="s">
        <v>3649</v>
      </c>
      <c r="D365" s="8">
        <v>12</v>
      </c>
      <c r="E365" s="9">
        <v>354.32</v>
      </c>
      <c r="F365" s="8">
        <v>1166</v>
      </c>
      <c r="G365" s="10"/>
      <c r="H365" s="9" t="str">
        <f>IF(G365="","",E365*G365)</f>
        <v/>
      </c>
      <c r="I365" s="11" t="str">
        <f>HYPERLINK("https://optomposuda.ru/product/chashka-green-tea-540-ml-zelenaya","открыть")</f>
        <v>открыть</v>
      </c>
    </row>
    <row r="366" spans="1:9" x14ac:dyDescent="0.25">
      <c r="A366" t="s">
        <v>4353</v>
      </c>
      <c r="B366" t="s">
        <v>4354</v>
      </c>
      <c r="C366" t="s">
        <v>3649</v>
      </c>
      <c r="D366" s="8">
        <v>12</v>
      </c>
      <c r="E366" s="9">
        <v>289.9</v>
      </c>
      <c r="F366" s="8">
        <v>955</v>
      </c>
      <c r="G366" s="10"/>
      <c r="H366" s="9" t="str">
        <f>IF(G366="","",E366*G366)</f>
        <v/>
      </c>
      <c r="I366" s="11" t="str">
        <f>HYPERLINK("https://optomposuda.ru/product/chashka-mocha-340-ml-zelenaya","открыть")</f>
        <v>открыть</v>
      </c>
    </row>
    <row r="367" spans="1:9" x14ac:dyDescent="0.25">
      <c r="A367" t="s">
        <v>4355</v>
      </c>
      <c r="B367" t="s">
        <v>4356</v>
      </c>
      <c r="C367" t="s">
        <v>3649</v>
      </c>
      <c r="D367" s="8">
        <v>12</v>
      </c>
      <c r="E367" s="9">
        <v>277.02</v>
      </c>
      <c r="F367" s="8">
        <v>955</v>
      </c>
      <c r="G367" s="10"/>
      <c r="H367" s="9" t="str">
        <f>IF(G367="","",E367*G367)</f>
        <v/>
      </c>
      <c r="I367" s="11" t="str">
        <f>HYPERLINK("https://optomposuda.ru/product/chashka-oolong-tea-320-ml-bezhevaya","открыть")</f>
        <v>открыть</v>
      </c>
    </row>
    <row r="368" spans="1:9" x14ac:dyDescent="0.25">
      <c r="A368" t="s">
        <v>4357</v>
      </c>
      <c r="B368" t="s">
        <v>4358</v>
      </c>
      <c r="C368" t="s">
        <v>3649</v>
      </c>
      <c r="D368" s="8">
        <v>12</v>
      </c>
      <c r="E368" s="9">
        <v>277.02</v>
      </c>
      <c r="F368" s="8">
        <v>957</v>
      </c>
      <c r="G368" s="10"/>
      <c r="H368" s="9" t="str">
        <f>IF(G368="","",E368*G368)</f>
        <v/>
      </c>
      <c r="I368" s="11" t="str">
        <f>HYPERLINK("https://optomposuda.ru/product/chashka-pu-erh-tea-320-ml-sinyaya","открыть")</f>
        <v>открыть</v>
      </c>
    </row>
    <row r="369" spans="1:9" x14ac:dyDescent="0.25">
      <c r="A369" t="s">
        <v>4359</v>
      </c>
      <c r="B369" t="s">
        <v>4360</v>
      </c>
      <c r="C369" t="s">
        <v>3649</v>
      </c>
      <c r="D369" s="8">
        <v>12</v>
      </c>
      <c r="E369" s="9">
        <v>354.32</v>
      </c>
      <c r="F369" s="8">
        <v>1446</v>
      </c>
      <c r="G369" s="10"/>
      <c r="H369" s="9" t="str">
        <f>IF(G369="","",E369*G369)</f>
        <v/>
      </c>
      <c r="I369" s="11" t="str">
        <f>HYPERLINK("https://optomposuda.ru/product/chashka-pu-erh-tea-540-ml-sinyaya","открыть")</f>
        <v>открыть</v>
      </c>
    </row>
    <row r="370" spans="1:9" x14ac:dyDescent="0.25">
      <c r="A370" t="s">
        <v>4361</v>
      </c>
      <c r="B370" t="s">
        <v>4362</v>
      </c>
      <c r="C370" t="s">
        <v>3649</v>
      </c>
      <c r="D370" s="8">
        <v>12</v>
      </c>
      <c r="E370" s="9">
        <v>289.9</v>
      </c>
      <c r="F370" s="8">
        <v>955</v>
      </c>
      <c r="G370" s="10"/>
      <c r="H370" s="9" t="str">
        <f>IF(G370="","",E370*G370)</f>
        <v/>
      </c>
      <c r="I370" s="11" t="str">
        <f>HYPERLINK("https://optomposuda.ru/product/chashka-vanilla-340-ml-bezhevaya","открыть")</f>
        <v>открыть</v>
      </c>
    </row>
    <row r="371" spans="1:9" x14ac:dyDescent="0.25">
      <c r="A371" s="7" t="s">
        <v>4363</v>
      </c>
      <c r="B371" s="7"/>
      <c r="C371" s="7"/>
      <c r="D371" s="7"/>
      <c r="E371" s="7"/>
      <c r="F371" s="7"/>
      <c r="G371" s="7"/>
      <c r="H371" s="7"/>
      <c r="I371" s="7"/>
    </row>
    <row r="372" spans="1:9" x14ac:dyDescent="0.25">
      <c r="A372" t="s">
        <v>4364</v>
      </c>
      <c r="B372" t="s">
        <v>4365</v>
      </c>
      <c r="C372" t="s">
        <v>3649</v>
      </c>
      <c r="D372" s="8">
        <v>1</v>
      </c>
      <c r="E372" s="9">
        <v>4663.22</v>
      </c>
      <c r="F372" s="8">
        <v>12</v>
      </c>
      <c r="G372" s="10"/>
      <c r="H372" s="9" t="str">
        <f>IF(G372="","",E372*G372)</f>
        <v/>
      </c>
      <c r="I372" s="11" t="str">
        <f>HYPERLINK("https://optomposuda.ru/product/vaza-dekorativnaya-antichnaya-roza-нн000009769","открыть")</f>
        <v>открыть</v>
      </c>
    </row>
    <row r="373" spans="1:9" x14ac:dyDescent="0.25">
      <c r="A373" t="s">
        <v>4366</v>
      </c>
      <c r="B373" t="s">
        <v>4365</v>
      </c>
      <c r="C373" t="s">
        <v>3649</v>
      </c>
      <c r="D373" s="8">
        <v>1</v>
      </c>
      <c r="E373" s="9">
        <v>3860.83</v>
      </c>
      <c r="F373" s="8">
        <v>12</v>
      </c>
      <c r="G373" s="10"/>
      <c r="H373" s="9" t="str">
        <f>IF(G373="","",E373*G373)</f>
        <v/>
      </c>
      <c r="I373" s="11" t="str">
        <f>HYPERLINK("https://optomposuda.ru/product/vaza-dekorativnaya-antichnaya-roza","открыть")</f>
        <v>открыть</v>
      </c>
    </row>
    <row r="374" spans="1:9" x14ac:dyDescent="0.25">
      <c r="A374" t="s">
        <v>4367</v>
      </c>
      <c r="B374" t="s">
        <v>4368</v>
      </c>
      <c r="C374" t="s">
        <v>3649</v>
      </c>
      <c r="D374" s="8">
        <v>1</v>
      </c>
      <c r="E374" s="9">
        <v>3392.64</v>
      </c>
      <c r="F374" s="8">
        <v>5</v>
      </c>
      <c r="G374" s="10"/>
      <c r="H374" s="9" t="str">
        <f>IF(G374="","",E374*G374)</f>
        <v/>
      </c>
      <c r="I374" s="11" t="str">
        <f>HYPERLINK("https://optomposuda.ru/product/vaza-dekorativnaya-ariel","открыть")</f>
        <v>открыть</v>
      </c>
    </row>
    <row r="375" spans="1:9" x14ac:dyDescent="0.25">
      <c r="A375" t="s">
        <v>4369</v>
      </c>
      <c r="B375" t="s">
        <v>4370</v>
      </c>
      <c r="C375" t="s">
        <v>3649</v>
      </c>
      <c r="D375" s="8">
        <v>1</v>
      </c>
      <c r="E375" s="9">
        <v>4663.22</v>
      </c>
      <c r="F375" s="8">
        <v>6</v>
      </c>
      <c r="G375" s="10"/>
      <c r="H375" s="9" t="str">
        <f>IF(G375="","",E375*G375)</f>
        <v/>
      </c>
      <c r="I375" s="11" t="str">
        <f>HYPERLINK("https://optomposuda.ru/product/vaza-dekorativnaya-afrika","открыть")</f>
        <v>открыть</v>
      </c>
    </row>
    <row r="376" spans="1:9" x14ac:dyDescent="0.25">
      <c r="A376" t="s">
        <v>4371</v>
      </c>
      <c r="B376" t="s">
        <v>4372</v>
      </c>
      <c r="C376" t="s">
        <v>3649</v>
      </c>
      <c r="D376" s="8">
        <v>1</v>
      </c>
      <c r="E376" s="9">
        <v>1009.12</v>
      </c>
      <c r="F376" s="8">
        <v>23</v>
      </c>
      <c r="G376" s="10"/>
      <c r="H376" s="9" t="str">
        <f>IF(G376="","",E376*G376)</f>
        <v/>
      </c>
      <c r="I376" s="11" t="str">
        <f>HYPERLINK("https://optomposuda.ru/product/vaza-dekorativnaya-volshebnyy-sosud-1","открыть")</f>
        <v>открыть</v>
      </c>
    </row>
    <row r="377" spans="1:9" x14ac:dyDescent="0.25">
      <c r="A377" t="s">
        <v>4373</v>
      </c>
      <c r="B377" t="s">
        <v>4374</v>
      </c>
      <c r="C377" t="s">
        <v>3649</v>
      </c>
      <c r="D377" s="8">
        <v>1</v>
      </c>
      <c r="E377" s="9">
        <v>1412.77</v>
      </c>
      <c r="F377" s="8">
        <v>23</v>
      </c>
      <c r="G377" s="10"/>
      <c r="H377" s="9" t="str">
        <f>IF(G377="","",E377*G377)</f>
        <v/>
      </c>
      <c r="I377" s="11" t="str">
        <f>HYPERLINK("https://optomposuda.ru/product/vaza-dekorativnaya-volshebnyy-sosud-2","открыть")</f>
        <v>открыть</v>
      </c>
    </row>
    <row r="378" spans="1:9" x14ac:dyDescent="0.25">
      <c r="A378" t="s">
        <v>4375</v>
      </c>
      <c r="B378" t="s">
        <v>4376</v>
      </c>
      <c r="C378" t="s">
        <v>3649</v>
      </c>
      <c r="D378" s="8">
        <v>1</v>
      </c>
      <c r="E378" s="9">
        <v>1614.58</v>
      </c>
      <c r="F378" s="8">
        <v>24</v>
      </c>
      <c r="G378" s="10"/>
      <c r="H378" s="9" t="str">
        <f>IF(G378="","",E378*G378)</f>
        <v/>
      </c>
      <c r="I378" s="11" t="str">
        <f>HYPERLINK("https://optomposuda.ru/product/vaza-dekorativnaya-volshebnyy-sosud-3","открыть")</f>
        <v>открыть</v>
      </c>
    </row>
    <row r="379" spans="1:9" x14ac:dyDescent="0.25">
      <c r="A379" t="s">
        <v>4377</v>
      </c>
      <c r="B379" t="s">
        <v>4378</v>
      </c>
      <c r="C379" t="s">
        <v>3649</v>
      </c>
      <c r="D379" s="8">
        <v>1</v>
      </c>
      <c r="E379" s="9">
        <v>3392.64</v>
      </c>
      <c r="F379" s="8">
        <v>12</v>
      </c>
      <c r="G379" s="10"/>
      <c r="H379" s="9" t="str">
        <f>IF(G379="","",E379*G379)</f>
        <v/>
      </c>
      <c r="I379" s="11" t="str">
        <f>HYPERLINK("https://optomposuda.ru/product/vaza-dekorativnaya-devochka-na-slone","открыть")</f>
        <v>открыть</v>
      </c>
    </row>
    <row r="380" spans="1:9" x14ac:dyDescent="0.25">
      <c r="A380" t="s">
        <v>4379</v>
      </c>
      <c r="B380" t="s">
        <v>4380</v>
      </c>
      <c r="C380" t="s">
        <v>3649</v>
      </c>
      <c r="D380" s="8">
        <v>1</v>
      </c>
      <c r="E380" s="9">
        <v>3434.58</v>
      </c>
      <c r="F380" s="8">
        <v>24</v>
      </c>
      <c r="G380" s="10"/>
      <c r="H380" s="9" t="str">
        <f>IF(G380="","",E380*G380)</f>
        <v/>
      </c>
      <c r="I380" s="11" t="str">
        <f>HYPERLINK("https://optomposuda.ru/product/vaza-dekorativnaya-matrica","открыть")</f>
        <v>открыть</v>
      </c>
    </row>
    <row r="381" spans="1:9" x14ac:dyDescent="0.25">
      <c r="A381" t="s">
        <v>4381</v>
      </c>
      <c r="B381" t="s">
        <v>4382</v>
      </c>
      <c r="C381" t="s">
        <v>3649</v>
      </c>
      <c r="D381" s="8">
        <v>1</v>
      </c>
      <c r="E381" s="9">
        <v>3860.83</v>
      </c>
      <c r="F381" s="8">
        <v>24</v>
      </c>
      <c r="G381" s="10"/>
      <c r="H381" s="9" t="str">
        <f>IF(G381="","",E381*G381)</f>
        <v/>
      </c>
      <c r="I381" s="11" t="str">
        <f>HYPERLINK("https://optomposuda.ru/product/vaza-dekorativnaya-modern","открыть")</f>
        <v>открыть</v>
      </c>
    </row>
    <row r="382" spans="1:9" x14ac:dyDescent="0.25">
      <c r="A382" t="s">
        <v>4383</v>
      </c>
      <c r="B382" t="s">
        <v>4384</v>
      </c>
      <c r="C382" t="s">
        <v>3649</v>
      </c>
      <c r="D382" s="8">
        <v>1</v>
      </c>
      <c r="E382" s="9">
        <v>2191.36</v>
      </c>
      <c r="F382" s="8">
        <v>23</v>
      </c>
      <c r="G382" s="10"/>
      <c r="H382" s="9" t="str">
        <f>IF(G382="","",E382*G382)</f>
        <v/>
      </c>
      <c r="I382" s="11" t="str">
        <f>HYPERLINK("https://optomposuda.ru/product/vaza-dekorativnaya-natyurel","открыть")</f>
        <v>открыть</v>
      </c>
    </row>
    <row r="383" spans="1:9" x14ac:dyDescent="0.25">
      <c r="A383" t="s">
        <v>4385</v>
      </c>
      <c r="B383" t="s">
        <v>4386</v>
      </c>
      <c r="C383" t="s">
        <v>3649</v>
      </c>
      <c r="D383" s="8">
        <v>1</v>
      </c>
      <c r="E383" s="9">
        <v>4663.22</v>
      </c>
      <c r="F383" s="8">
        <v>12</v>
      </c>
      <c r="G383" s="10"/>
      <c r="H383" s="9" t="str">
        <f>IF(G383="","",E383*G383)</f>
        <v/>
      </c>
      <c r="I383" s="11" t="str">
        <f>HYPERLINK("https://optomposuda.ru/product/vaza-dekorativnaya-nimfa","открыть")</f>
        <v>открыть</v>
      </c>
    </row>
    <row r="384" spans="1:9" x14ac:dyDescent="0.25">
      <c r="A384" t="s">
        <v>4387</v>
      </c>
      <c r="B384" t="s">
        <v>4388</v>
      </c>
      <c r="C384" t="s">
        <v>3649</v>
      </c>
      <c r="D384" s="8">
        <v>1</v>
      </c>
      <c r="E384" s="9">
        <v>2808.88</v>
      </c>
      <c r="F384" s="8">
        <v>20</v>
      </c>
      <c r="G384" s="10"/>
      <c r="H384" s="9" t="str">
        <f>IF(G384="","",E384*G384)</f>
        <v/>
      </c>
      <c r="I384" s="11" t="str">
        <f>HYPERLINK("https://optomposuda.ru/product/vaza-dekorativnaya-pero-pavlina","открыть")</f>
        <v>открыть</v>
      </c>
    </row>
    <row r="385" spans="1:9" x14ac:dyDescent="0.25">
      <c r="A385" t="s">
        <v>4389</v>
      </c>
      <c r="B385" t="s">
        <v>4390</v>
      </c>
      <c r="C385" t="s">
        <v>3649</v>
      </c>
      <c r="D385" s="8">
        <v>1</v>
      </c>
      <c r="E385" s="9">
        <v>3434.58</v>
      </c>
      <c r="F385" s="8">
        <v>6</v>
      </c>
      <c r="G385" s="10"/>
      <c r="H385" s="9" t="str">
        <f>IF(G385="","",E385*G385)</f>
        <v/>
      </c>
      <c r="I385" s="11" t="str">
        <f>HYPERLINK("https://optomposuda.ru/product/vaza-dekorativnaya-cvetochnaya-simfoniya","открыть")</f>
        <v>открыть</v>
      </c>
    </row>
    <row r="386" spans="1:9" x14ac:dyDescent="0.25">
      <c r="A386" t="s">
        <v>4391</v>
      </c>
      <c r="B386" t="s">
        <v>4392</v>
      </c>
      <c r="C386" t="s">
        <v>3649</v>
      </c>
      <c r="D386" s="8">
        <v>2</v>
      </c>
      <c r="E386" s="9">
        <v>1569.38</v>
      </c>
      <c r="F386" s="8">
        <v>106</v>
      </c>
      <c r="G386" s="10"/>
      <c r="H386" s="9" t="str">
        <f>IF(G386="","",E386*G386)</f>
        <v/>
      </c>
      <c r="I386" s="11" t="str">
        <f>HYPERLINK("https://optomposuda.ru/product/vaza-dlya-fruktov-graciya-38-sm","открыть")</f>
        <v>открыть</v>
      </c>
    </row>
    <row r="387" spans="1:9" x14ac:dyDescent="0.25">
      <c r="A387" t="s">
        <v>4393</v>
      </c>
      <c r="B387" t="s">
        <v>4394</v>
      </c>
      <c r="C387" t="s">
        <v>3649</v>
      </c>
      <c r="D387" s="8">
        <v>12</v>
      </c>
      <c r="E387" s="9">
        <v>1090.61</v>
      </c>
      <c r="F387" s="8">
        <v>677</v>
      </c>
      <c r="G387" s="10"/>
      <c r="H387" s="9" t="str">
        <f>IF(G387="","",E387*G387)</f>
        <v/>
      </c>
      <c r="I387" s="11" t="str">
        <f>HYPERLINK("https://optomposuda.ru/product/vaza-dlya-cvetov-klassik-24-sm","открыть")</f>
        <v>открыть</v>
      </c>
    </row>
    <row r="388" spans="1:9" x14ac:dyDescent="0.25">
      <c r="A388" t="s">
        <v>4395</v>
      </c>
      <c r="B388" t="s">
        <v>4396</v>
      </c>
      <c r="C388" t="s">
        <v>3649</v>
      </c>
      <c r="D388" s="8">
        <v>1</v>
      </c>
      <c r="E388" s="9">
        <v>664.58</v>
      </c>
      <c r="F388" s="8">
        <v>546</v>
      </c>
      <c r="G388" s="10"/>
      <c r="H388" s="9" t="str">
        <f>IF(G388="","",E388*G388)</f>
        <v/>
      </c>
      <c r="I388" s="11" t="str">
        <f>HYPERLINK("https://optomposuda.ru/product/vaza-dlya-cvetov-ozherele-20-sm-art-55561","открыть")</f>
        <v>открыть</v>
      </c>
    </row>
    <row r="389" spans="1:9" x14ac:dyDescent="0.25">
      <c r="A389" t="s">
        <v>4397</v>
      </c>
      <c r="B389" t="s">
        <v>4398</v>
      </c>
      <c r="C389" t="s">
        <v>3649</v>
      </c>
      <c r="D389" s="8">
        <v>12</v>
      </c>
      <c r="E389" s="9">
        <v>1160.87</v>
      </c>
      <c r="F389" s="8">
        <v>675</v>
      </c>
      <c r="G389" s="10"/>
      <c r="H389" s="9" t="str">
        <f>IF(G389="","",E389*G389)</f>
        <v/>
      </c>
      <c r="I389" s="11" t="str">
        <f>HYPERLINK("https://optomposuda.ru/product/vaza-dlya-cvetov-prezent-29-sm","открыть")</f>
        <v>открыть</v>
      </c>
    </row>
    <row r="390" spans="1:9" x14ac:dyDescent="0.25">
      <c r="A390" t="s">
        <v>4399</v>
      </c>
      <c r="B390" t="s">
        <v>4400</v>
      </c>
      <c r="C390" t="s">
        <v>3649</v>
      </c>
      <c r="D390" s="8">
        <v>1</v>
      </c>
      <c r="E390" s="9">
        <v>1276.43</v>
      </c>
      <c r="F390" s="8">
        <v>565</v>
      </c>
      <c r="G390" s="10"/>
      <c r="H390" s="9" t="str">
        <f>IF(G390="","",E390*G390)</f>
        <v/>
      </c>
      <c r="I390" s="11" t="str">
        <f>HYPERLINK("https://optomposuda.ru/product/vaza-dlya-cvetov-rapsodiya-26-sm-art-55554","открыть")</f>
        <v>открыть</v>
      </c>
    </row>
    <row r="391" spans="1:9" x14ac:dyDescent="0.25">
      <c r="A391" t="s">
        <v>4401</v>
      </c>
      <c r="B391" t="s">
        <v>4402</v>
      </c>
      <c r="C391" t="s">
        <v>3649</v>
      </c>
      <c r="D391" s="8">
        <v>1</v>
      </c>
      <c r="E391" s="9">
        <v>1088.1</v>
      </c>
      <c r="F391" s="8">
        <v>644</v>
      </c>
      <c r="G391" s="10"/>
      <c r="H391" s="9" t="str">
        <f>IF(G391="","",E391*G391)</f>
        <v/>
      </c>
      <c r="I391" s="11" t="str">
        <f>HYPERLINK("https://optomposuda.ru/product/vaza-dlya-cvetov-siyanie-kruglaya-20-sm-art-55556","открыть")</f>
        <v>открыть</v>
      </c>
    </row>
    <row r="392" spans="1:9" x14ac:dyDescent="0.25">
      <c r="A392" t="s">
        <v>4403</v>
      </c>
      <c r="B392" t="s">
        <v>4404</v>
      </c>
      <c r="C392" t="s">
        <v>3649</v>
      </c>
      <c r="D392" s="8">
        <v>12</v>
      </c>
      <c r="E392" s="9">
        <v>902.23</v>
      </c>
      <c r="F392" s="8">
        <v>242</v>
      </c>
      <c r="G392" s="10"/>
      <c r="H392" s="9" t="str">
        <f>IF(G392="","",E392*G392)</f>
        <v/>
      </c>
      <c r="I392" s="11" t="str">
        <f>HYPERLINK("https://optomposuda.ru/product/vaza-dlya-cvetov-skala-28-sm","открыть")</f>
        <v>открыть</v>
      </c>
    </row>
    <row r="393" spans="1:9" x14ac:dyDescent="0.25">
      <c r="A393" t="s">
        <v>4405</v>
      </c>
      <c r="B393" t="s">
        <v>4406</v>
      </c>
      <c r="C393" t="s">
        <v>3649</v>
      </c>
      <c r="D393" s="8">
        <v>1</v>
      </c>
      <c r="E393" s="9">
        <v>1091.45</v>
      </c>
      <c r="F393" s="8">
        <v>781</v>
      </c>
      <c r="G393" s="10"/>
      <c r="H393" s="9" t="str">
        <f>IF(G393="","",E393*G393)</f>
        <v/>
      </c>
      <c r="I393" s="11" t="str">
        <f>HYPERLINK("https://optomposuda.ru/product/vaza-dlya-cvetov-trend-grani-20-sm-art-55558","открыть")</f>
        <v>открыть</v>
      </c>
    </row>
    <row r="394" spans="1:9" x14ac:dyDescent="0.25">
      <c r="A394" t="s">
        <v>4407</v>
      </c>
      <c r="B394" t="s">
        <v>4408</v>
      </c>
      <c r="C394" t="s">
        <v>3649</v>
      </c>
      <c r="D394" s="8">
        <v>1</v>
      </c>
      <c r="E394" s="9">
        <v>832.82</v>
      </c>
      <c r="F394" s="8">
        <v>786</v>
      </c>
      <c r="G394" s="10"/>
      <c r="H394" s="9" t="str">
        <f>IF(G394="","",E394*G394)</f>
        <v/>
      </c>
      <c r="I394" s="11" t="str">
        <f>HYPERLINK("https://optomposuda.ru/product/vaza-dlya-cvetov-trend-modern-19-sm-art-55560","открыть")</f>
        <v>открыть</v>
      </c>
    </row>
    <row r="395" spans="1:9" x14ac:dyDescent="0.25">
      <c r="A395" t="s">
        <v>4409</v>
      </c>
      <c r="B395" t="s">
        <v>4410</v>
      </c>
      <c r="C395" t="s">
        <v>3649</v>
      </c>
      <c r="D395" s="8">
        <v>1</v>
      </c>
      <c r="E395" s="9">
        <v>1091.45</v>
      </c>
      <c r="F395" s="8">
        <v>780</v>
      </c>
      <c r="G395" s="10"/>
      <c r="H395" s="9" t="str">
        <f>IF(G395="","",E395*G395)</f>
        <v/>
      </c>
      <c r="I395" s="11" t="str">
        <f>HYPERLINK("https://optomposuda.ru/product/vaza-dlya-cvetov-trend-relef-22-sm-art-55559","открыть")</f>
        <v>открыть</v>
      </c>
    </row>
    <row r="396" spans="1:9" x14ac:dyDescent="0.25">
      <c r="A396" t="s">
        <v>4411</v>
      </c>
      <c r="B396" t="s">
        <v>4412</v>
      </c>
      <c r="C396" t="s">
        <v>3649</v>
      </c>
      <c r="D396" s="8">
        <v>1</v>
      </c>
      <c r="E396" s="9">
        <v>1288.98</v>
      </c>
      <c r="F396" s="8">
        <v>780</v>
      </c>
      <c r="G396" s="10"/>
      <c r="H396" s="9" t="str">
        <f>IF(G396="","",E396*G396)</f>
        <v/>
      </c>
      <c r="I396" s="11" t="str">
        <f>HYPERLINK("https://optomposuda.ru/product/vaza-dlya-cvetov-trend-soty-25-sm-art-55557","открыть")</f>
        <v>открыть</v>
      </c>
    </row>
    <row r="397" spans="1:9" x14ac:dyDescent="0.25">
      <c r="A397" t="s">
        <v>4413</v>
      </c>
      <c r="B397" t="s">
        <v>4414</v>
      </c>
      <c r="C397" t="s">
        <v>3649</v>
      </c>
      <c r="D397" s="8">
        <v>1</v>
      </c>
      <c r="E397" s="9">
        <v>1138.32</v>
      </c>
      <c r="F397" s="8">
        <v>783</v>
      </c>
      <c r="G397" s="10"/>
      <c r="H397" s="9" t="str">
        <f>IF(G397="","",E397*G397)</f>
        <v/>
      </c>
      <c r="I397" s="11" t="str">
        <f>HYPERLINK("https://optomposuda.ru/product/vaza-dlya-cvetov-yantarnaya-25-sm-art-55555","открыть")</f>
        <v>открыть</v>
      </c>
    </row>
    <row r="398" spans="1:9" x14ac:dyDescent="0.25">
      <c r="A398" t="s">
        <v>4415</v>
      </c>
      <c r="B398" t="s">
        <v>4416</v>
      </c>
      <c r="C398" t="s">
        <v>3649</v>
      </c>
      <c r="D398" s="8">
        <v>24</v>
      </c>
      <c r="E398" s="9">
        <v>1086.44</v>
      </c>
      <c r="F398" s="8">
        <v>777</v>
      </c>
      <c r="G398" s="10"/>
      <c r="H398" s="9" t="str">
        <f>IF(G398="","",E398*G398)</f>
        <v/>
      </c>
      <c r="I398" s="11" t="str">
        <f>HYPERLINK("https://optomposuda.ru/product/vaza-dlya-cvetov-black-gold-7x11x20-5-sm","открыть")</f>
        <v>открыть</v>
      </c>
    </row>
    <row r="399" spans="1:9" x14ac:dyDescent="0.25">
      <c r="A399" t="s">
        <v>4417</v>
      </c>
      <c r="B399" t="s">
        <v>4418</v>
      </c>
      <c r="C399" t="s">
        <v>3649</v>
      </c>
      <c r="D399" s="8">
        <v>24</v>
      </c>
      <c r="E399" s="9">
        <v>1007.47</v>
      </c>
      <c r="F399" s="8">
        <v>800</v>
      </c>
      <c r="G399" s="10"/>
      <c r="H399" s="9" t="str">
        <f>IF(G399="","",E399*G399)</f>
        <v/>
      </c>
      <c r="I399" s="11" t="str">
        <f>HYPERLINK("https://optomposuda.ru/product/vaza-dlya-cvetov-black-gold-8-5x14x17-sm","открыть")</f>
        <v>открыть</v>
      </c>
    </row>
    <row r="400" spans="1:9" x14ac:dyDescent="0.25">
      <c r="A400" t="s">
        <v>4419</v>
      </c>
      <c r="B400" t="s">
        <v>4420</v>
      </c>
      <c r="C400" t="s">
        <v>3649</v>
      </c>
      <c r="D400" s="8">
        <v>1</v>
      </c>
      <c r="E400" s="9">
        <v>619.38</v>
      </c>
      <c r="F400" s="8">
        <v>796</v>
      </c>
      <c r="G400" s="10"/>
      <c r="H400" s="9" t="str">
        <f>IF(G400="","",E400*G400)</f>
        <v/>
      </c>
      <c r="I400" s="11" t="str">
        <f>HYPERLINK("https://optomposuda.ru/product/vaza-ovalnaya-izobilie-23-sm-art-55530","открыть")</f>
        <v>открыть</v>
      </c>
    </row>
    <row r="401" spans="1:9" x14ac:dyDescent="0.25">
      <c r="A401" t="s">
        <v>4421</v>
      </c>
      <c r="B401" t="s">
        <v>4422</v>
      </c>
      <c r="C401" t="s">
        <v>3649</v>
      </c>
      <c r="D401" s="8">
        <v>1</v>
      </c>
      <c r="E401" s="9">
        <v>665.42</v>
      </c>
      <c r="F401" s="8">
        <v>497</v>
      </c>
      <c r="G401" s="10"/>
      <c r="H401" s="9" t="str">
        <f>IF(G401="","",E401*G401)</f>
        <v/>
      </c>
      <c r="I401" s="11" t="str">
        <f>HYPERLINK("https://optomposuda.ru/product/vaza-ovalnaya-izobilie-28-sm-art-55529","открыть")</f>
        <v>открыть</v>
      </c>
    </row>
    <row r="402" spans="1:9" x14ac:dyDescent="0.25">
      <c r="A402" t="s">
        <v>4423</v>
      </c>
      <c r="B402" t="s">
        <v>4424</v>
      </c>
      <c r="C402" t="s">
        <v>3649</v>
      </c>
      <c r="D402" s="8">
        <v>1</v>
      </c>
      <c r="E402" s="9">
        <v>703.08</v>
      </c>
      <c r="F402" s="8">
        <v>365</v>
      </c>
      <c r="G402" s="10"/>
      <c r="H402" s="9" t="str">
        <f>IF(G402="","",E402*G402)</f>
        <v/>
      </c>
      <c r="I402" s="11" t="str">
        <f>HYPERLINK("https://optomposuda.ru/product/vaza-ovalnaya-izobilie-34-sm-art-55528","открыть")</f>
        <v>открыть</v>
      </c>
    </row>
    <row r="403" spans="1:9" x14ac:dyDescent="0.25">
      <c r="A403" t="s">
        <v>4425</v>
      </c>
      <c r="B403" t="s">
        <v>4426</v>
      </c>
      <c r="C403" t="s">
        <v>3649</v>
      </c>
      <c r="D403" s="8">
        <v>1</v>
      </c>
      <c r="E403" s="9">
        <v>2177.7</v>
      </c>
      <c r="F403" s="8">
        <v>6</v>
      </c>
      <c r="G403" s="10"/>
      <c r="H403" s="9" t="str">
        <f>IF(G403="","",E403*G403)</f>
        <v/>
      </c>
      <c r="I403" s="11" t="str">
        <f>HYPERLINK("https://optomposuda.ru/product/figurka-dekorativnaya-atlant","открыть")</f>
        <v>открыть</v>
      </c>
    </row>
    <row r="404" spans="1:9" x14ac:dyDescent="0.25">
      <c r="A404" t="s">
        <v>4364</v>
      </c>
      <c r="B404" t="s">
        <v>4427</v>
      </c>
      <c r="C404" t="s">
        <v>3649</v>
      </c>
      <c r="D404" s="8">
        <v>1</v>
      </c>
      <c r="E404" s="9">
        <v>4770.72</v>
      </c>
      <c r="F404" s="8">
        <v>9</v>
      </c>
      <c r="G404" s="10"/>
      <c r="H404" s="9" t="str">
        <f>IF(G404="","",E404*G404)</f>
        <v/>
      </c>
      <c r="I404" s="11" t="str">
        <f>HYPERLINK("https://optomposuda.ru/product/figurka-dekorativnaya-vostok","открыть")</f>
        <v>открыть</v>
      </c>
    </row>
    <row r="405" spans="1:9" x14ac:dyDescent="0.25">
      <c r="A405" t="s">
        <v>4428</v>
      </c>
      <c r="B405" t="s">
        <v>4429</v>
      </c>
      <c r="C405" t="s">
        <v>3649</v>
      </c>
      <c r="D405" s="8">
        <v>1</v>
      </c>
      <c r="E405" s="9">
        <v>1969.42</v>
      </c>
      <c r="F405" s="8">
        <v>2</v>
      </c>
      <c r="G405" s="10"/>
      <c r="H405" s="9" t="str">
        <f>IF(G405="","",E405*G405)</f>
        <v/>
      </c>
      <c r="I405" s="11" t="str">
        <f>HYPERLINK("https://optomposuda.ru/product/figurka-dekorativnaya-dary-morya-1","открыть")</f>
        <v>открыть</v>
      </c>
    </row>
    <row r="406" spans="1:9" x14ac:dyDescent="0.25">
      <c r="A406" t="s">
        <v>4430</v>
      </c>
      <c r="B406" t="s">
        <v>4431</v>
      </c>
      <c r="C406" t="s">
        <v>3649</v>
      </c>
      <c r="D406" s="8">
        <v>1</v>
      </c>
      <c r="E406" s="9">
        <v>2757.17</v>
      </c>
      <c r="F406" s="8">
        <v>2</v>
      </c>
      <c r="G406" s="10"/>
      <c r="H406" s="9" t="str">
        <f>IF(G406="","",E406*G406)</f>
        <v/>
      </c>
      <c r="I406" s="11" t="str">
        <f>HYPERLINK("https://optomposuda.ru/product/figurka-dekorativnaya-dary-morya-2","открыть")</f>
        <v>открыть</v>
      </c>
    </row>
    <row r="407" spans="1:9" x14ac:dyDescent="0.25">
      <c r="A407" t="s">
        <v>4432</v>
      </c>
      <c r="B407" t="s">
        <v>4433</v>
      </c>
      <c r="C407" t="s">
        <v>3649</v>
      </c>
      <c r="D407" s="8">
        <v>1</v>
      </c>
      <c r="E407" s="9">
        <v>3151.08</v>
      </c>
      <c r="F407" s="8">
        <v>2</v>
      </c>
      <c r="G407" s="10"/>
      <c r="H407" s="9" t="str">
        <f>IF(G407="","",E407*G407)</f>
        <v/>
      </c>
      <c r="I407" s="11" t="str">
        <f>HYPERLINK("https://optomposuda.ru/product/figurka-dekorativnaya-dary-morya-3","открыть")</f>
        <v>открыть</v>
      </c>
    </row>
    <row r="408" spans="1:9" x14ac:dyDescent="0.25">
      <c r="A408" t="s">
        <v>4434</v>
      </c>
      <c r="B408" t="s">
        <v>4435</v>
      </c>
      <c r="C408" t="s">
        <v>3649</v>
      </c>
      <c r="D408" s="8">
        <v>1</v>
      </c>
      <c r="E408" s="9">
        <v>2420.88</v>
      </c>
      <c r="F408" s="8">
        <v>5</v>
      </c>
      <c r="G408" s="10"/>
      <c r="H408" s="9" t="str">
        <f>IF(G408="","",E408*G408)</f>
        <v/>
      </c>
      <c r="I408" s="11" t="str">
        <f>HYPERLINK("https://optomposuda.ru/product/figurka-dekorativnaya-zolotoy-rog","открыть")</f>
        <v>открыть</v>
      </c>
    </row>
    <row r="409" spans="1:9" x14ac:dyDescent="0.25">
      <c r="A409" t="s">
        <v>4436</v>
      </c>
      <c r="B409" t="s">
        <v>4437</v>
      </c>
      <c r="C409" t="s">
        <v>3649</v>
      </c>
      <c r="D409" s="8">
        <v>1</v>
      </c>
      <c r="E409" s="9">
        <v>1053.07</v>
      </c>
      <c r="F409" s="8">
        <v>4</v>
      </c>
      <c r="G409" s="10"/>
      <c r="H409" s="9" t="str">
        <f>IF(G409="","",E409*G409)</f>
        <v/>
      </c>
      <c r="I409" s="11" t="str">
        <f>HYPERLINK("https://optomposuda.ru/product/figurka-dekorativnaya-korall-1","открыть")</f>
        <v>открыть</v>
      </c>
    </row>
    <row r="410" spans="1:9" x14ac:dyDescent="0.25">
      <c r="A410" t="s">
        <v>4438</v>
      </c>
      <c r="B410" t="s">
        <v>4439</v>
      </c>
      <c r="C410" t="s">
        <v>3649</v>
      </c>
      <c r="D410" s="8">
        <v>1</v>
      </c>
      <c r="E410" s="9">
        <v>1578.19</v>
      </c>
      <c r="F410" s="8">
        <v>5</v>
      </c>
      <c r="G410" s="10"/>
      <c r="H410" s="9" t="str">
        <f>IF(G410="","",E410*G410)</f>
        <v/>
      </c>
      <c r="I410" s="11" t="str">
        <f>HYPERLINK("https://optomposuda.ru/product/figurka-dekorativnaya-korall-2","открыть")</f>
        <v>открыть</v>
      </c>
    </row>
    <row r="411" spans="1:9" x14ac:dyDescent="0.25">
      <c r="A411" t="s">
        <v>4440</v>
      </c>
      <c r="B411" t="s">
        <v>4441</v>
      </c>
      <c r="C411" t="s">
        <v>3649</v>
      </c>
      <c r="D411" s="8">
        <v>1</v>
      </c>
      <c r="E411" s="9">
        <v>700</v>
      </c>
      <c r="F411" s="8">
        <v>12</v>
      </c>
      <c r="G411" s="10"/>
      <c r="H411" s="9" t="str">
        <f>IF(G411="","",E411*G411)</f>
        <v/>
      </c>
      <c r="I411" s="11" t="str">
        <f>HYPERLINK("https://optomposuda.ru/product/figurka-dekorativnaya-list-1","открыть")</f>
        <v>открыть</v>
      </c>
    </row>
    <row r="412" spans="1:9" x14ac:dyDescent="0.25">
      <c r="A412" t="s">
        <v>4442</v>
      </c>
      <c r="B412" t="s">
        <v>4443</v>
      </c>
      <c r="C412" t="s">
        <v>3649</v>
      </c>
      <c r="D412" s="8">
        <v>1</v>
      </c>
      <c r="E412" s="9">
        <v>1100</v>
      </c>
      <c r="F412" s="8">
        <v>12</v>
      </c>
      <c r="G412" s="10"/>
      <c r="H412" s="9" t="str">
        <f>IF(G412="","",E412*G412)</f>
        <v/>
      </c>
      <c r="I412" s="11" t="str">
        <f>HYPERLINK("https://optomposuda.ru/product/figurka-dekorativnaya-list-2","открыть")</f>
        <v>открыть</v>
      </c>
    </row>
    <row r="413" spans="1:9" x14ac:dyDescent="0.25">
      <c r="A413" t="s">
        <v>4444</v>
      </c>
      <c r="B413" t="s">
        <v>4445</v>
      </c>
      <c r="C413" t="s">
        <v>3649</v>
      </c>
      <c r="D413" s="8">
        <v>1</v>
      </c>
      <c r="E413" s="9">
        <v>2966.9</v>
      </c>
      <c r="F413" s="8">
        <v>3</v>
      </c>
      <c r="G413" s="10"/>
      <c r="H413" s="9" t="str">
        <f>IF(G413="","",E413*G413)</f>
        <v/>
      </c>
      <c r="I413" s="11" t="str">
        <f>HYPERLINK("https://optomposuda.ru/product/figurka-dekorativnaya-morskaya-rakovina","открыть")</f>
        <v>открыть</v>
      </c>
    </row>
    <row r="414" spans="1:9" x14ac:dyDescent="0.25">
      <c r="A414" t="s">
        <v>4440</v>
      </c>
      <c r="B414" t="s">
        <v>4446</v>
      </c>
      <c r="C414" t="s">
        <v>3649</v>
      </c>
      <c r="D414" s="8">
        <v>1</v>
      </c>
      <c r="E414" s="9">
        <v>1452.1</v>
      </c>
      <c r="F414" s="8">
        <v>4</v>
      </c>
      <c r="G414" s="10"/>
      <c r="H414" s="9" t="str">
        <f>IF(G414="","",E414*G414)</f>
        <v/>
      </c>
      <c r="I414" s="11" t="str">
        <f>HYPERLINK("https://optomposuda.ru/product/figurka-dekorativnaya-press-pape-pero-1","открыть")</f>
        <v>открыть</v>
      </c>
    </row>
    <row r="415" spans="1:9" x14ac:dyDescent="0.25">
      <c r="A415" t="s">
        <v>4442</v>
      </c>
      <c r="B415" t="s">
        <v>4447</v>
      </c>
      <c r="C415" t="s">
        <v>3649</v>
      </c>
      <c r="D415" s="8">
        <v>1</v>
      </c>
      <c r="E415" s="9">
        <v>2032.94</v>
      </c>
      <c r="F415" s="8">
        <v>6</v>
      </c>
      <c r="G415" s="10"/>
      <c r="H415" s="9" t="str">
        <f>IF(G415="","",E415*G415)</f>
        <v/>
      </c>
      <c r="I415" s="11" t="str">
        <f>HYPERLINK("https://optomposuda.ru/product/figurka-dekorativnaya-press-pape-pero-2","открыть")</f>
        <v>открыть</v>
      </c>
    </row>
    <row r="416" spans="1:9" x14ac:dyDescent="0.25">
      <c r="A416" t="s">
        <v>4448</v>
      </c>
      <c r="B416" t="s">
        <v>4449</v>
      </c>
      <c r="C416" t="s">
        <v>3649</v>
      </c>
      <c r="D416" s="8">
        <v>1</v>
      </c>
      <c r="E416" s="9">
        <v>2323.34</v>
      </c>
      <c r="F416" s="8">
        <v>5</v>
      </c>
      <c r="G416" s="10"/>
      <c r="H416" s="9" t="str">
        <f>IF(G416="","",E416*G416)</f>
        <v/>
      </c>
      <c r="I416" s="11" t="str">
        <f>HYPERLINK("https://optomposuda.ru/product/figurka-dekorativnaya-press-pape-pero-3","открыть")</f>
        <v>открыть</v>
      </c>
    </row>
    <row r="417" spans="1:9" x14ac:dyDescent="0.25">
      <c r="A417" t="s">
        <v>4425</v>
      </c>
      <c r="B417" t="s">
        <v>4450</v>
      </c>
      <c r="C417" t="s">
        <v>3649</v>
      </c>
      <c r="D417" s="8">
        <v>1</v>
      </c>
      <c r="E417" s="9">
        <v>2381.27</v>
      </c>
      <c r="F417" s="8">
        <v>6</v>
      </c>
      <c r="G417" s="10"/>
      <c r="H417" s="9" t="str">
        <f>IF(G417="","",E417*G417)</f>
        <v/>
      </c>
      <c r="I417" s="11" t="str">
        <f>HYPERLINK("https://optomposuda.ru/product/figurka-dekorativnaya-rif","открыть")</f>
        <v>открыть</v>
      </c>
    </row>
    <row r="418" spans="1:9" x14ac:dyDescent="0.25">
      <c r="A418" t="s">
        <v>4451</v>
      </c>
      <c r="B418" t="s">
        <v>4452</v>
      </c>
      <c r="C418" t="s">
        <v>3649</v>
      </c>
      <c r="D418" s="8">
        <v>1</v>
      </c>
      <c r="E418" s="9">
        <v>2284.26</v>
      </c>
      <c r="F418" s="8">
        <v>24</v>
      </c>
      <c r="G418" s="10"/>
      <c r="H418" s="9" t="str">
        <f>IF(G418="","",E418*G418)</f>
        <v/>
      </c>
      <c r="I418" s="11" t="str">
        <f>HYPERLINK("https://optomposuda.ru/product/figurka-dekorativnaya-rusalka","открыть")</f>
        <v>открыть</v>
      </c>
    </row>
    <row r="419" spans="1:9" x14ac:dyDescent="0.25">
      <c r="A419" t="s">
        <v>4453</v>
      </c>
      <c r="B419" t="s">
        <v>4454</v>
      </c>
      <c r="C419" t="s">
        <v>3649</v>
      </c>
      <c r="D419" s="8">
        <v>1</v>
      </c>
      <c r="E419" s="9">
        <v>3646.75</v>
      </c>
      <c r="F419" s="8">
        <v>6</v>
      </c>
      <c r="G419" s="10"/>
      <c r="H419" s="9" t="str">
        <f>IF(G419="","",E419*G419)</f>
        <v/>
      </c>
      <c r="I419" s="11" t="str">
        <f>HYPERLINK("https://optomposuda.ru/product/figurka-dekorativnaya-tri-obezyany","открыть")</f>
        <v>открыть</v>
      </c>
    </row>
    <row r="420" spans="1:9" x14ac:dyDescent="0.25">
      <c r="A420" t="s">
        <v>4455</v>
      </c>
      <c r="B420" t="s">
        <v>4456</v>
      </c>
      <c r="C420" t="s">
        <v>3649</v>
      </c>
      <c r="D420" s="8">
        <v>1</v>
      </c>
      <c r="E420" s="9">
        <v>1286.94</v>
      </c>
      <c r="F420" s="8">
        <v>5</v>
      </c>
      <c r="G420" s="10"/>
      <c r="H420" s="9" t="str">
        <f>IF(G420="","",E420*G420)</f>
        <v/>
      </c>
      <c r="I420" s="11" t="str">
        <f>HYPERLINK("https://optomposuda.ru/product/figurka-dekorativnaya-tykvy-1","открыть")</f>
        <v>открыть</v>
      </c>
    </row>
    <row r="421" spans="1:9" x14ac:dyDescent="0.25">
      <c r="A421" t="s">
        <v>4457</v>
      </c>
      <c r="B421" t="s">
        <v>4458</v>
      </c>
      <c r="C421" t="s">
        <v>3649</v>
      </c>
      <c r="D421" s="8">
        <v>1</v>
      </c>
      <c r="E421" s="9">
        <v>1286.94</v>
      </c>
      <c r="F421" s="8">
        <v>5</v>
      </c>
      <c r="G421" s="10"/>
      <c r="H421" s="9" t="str">
        <f>IF(G421="","",E421*G421)</f>
        <v/>
      </c>
      <c r="I421" s="11" t="str">
        <f>HYPERLINK("https://optomposuda.ru/product/figurka-dekorativnaya-tykvy-2","открыть")</f>
        <v>открыть</v>
      </c>
    </row>
    <row r="422" spans="1:9" x14ac:dyDescent="0.25">
      <c r="A422" t="s">
        <v>4459</v>
      </c>
      <c r="B422" t="s">
        <v>4460</v>
      </c>
      <c r="C422" t="s">
        <v>3649</v>
      </c>
      <c r="D422" s="8">
        <v>1</v>
      </c>
      <c r="E422" s="9">
        <v>1286.94</v>
      </c>
      <c r="F422" s="8">
        <v>5</v>
      </c>
      <c r="G422" s="10"/>
      <c r="H422" s="9" t="str">
        <f>IF(G422="","",E422*G422)</f>
        <v/>
      </c>
      <c r="I422" s="11" t="str">
        <f>HYPERLINK("https://optomposuda.ru/product/figurka-dekorativnaya-tykvy-3","открыть")</f>
        <v>открыть</v>
      </c>
    </row>
    <row r="423" spans="1:9" x14ac:dyDescent="0.25">
      <c r="A423" t="s">
        <v>4461</v>
      </c>
      <c r="B423" t="s">
        <v>4462</v>
      </c>
      <c r="C423" t="s">
        <v>3649</v>
      </c>
      <c r="D423" s="8">
        <v>1</v>
      </c>
      <c r="E423" s="9">
        <v>2420.88</v>
      </c>
      <c r="F423" s="8">
        <v>12</v>
      </c>
      <c r="G423" s="10"/>
      <c r="H423" s="9" t="str">
        <f>IF(G423="","",E423*G423)</f>
        <v/>
      </c>
      <c r="I423" s="11" t="str">
        <f>HYPERLINK("https://optomposuda.ru/product/figurka-dekorativnaya-chtec","открыть")</f>
        <v>открыть</v>
      </c>
    </row>
    <row r="424" spans="1:9" x14ac:dyDescent="0.25">
      <c r="A424" t="s">
        <v>4463</v>
      </c>
      <c r="B424" t="s">
        <v>4464</v>
      </c>
      <c r="C424" t="s">
        <v>3649</v>
      </c>
      <c r="D424" s="8">
        <v>1</v>
      </c>
      <c r="E424" s="9">
        <v>983.65</v>
      </c>
      <c r="F424" s="8">
        <v>12</v>
      </c>
      <c r="G424" s="10"/>
      <c r="H424" s="9" t="str">
        <f>IF(G424="","",E424*G424)</f>
        <v/>
      </c>
      <c r="I424" s="11" t="str">
        <f>HYPERLINK("https://optomposuda.ru/product/figurka-dekorativnaya-emociya","открыть")</f>
        <v>открыть</v>
      </c>
    </row>
    <row r="425" spans="1:9" x14ac:dyDescent="0.25">
      <c r="A425" t="s">
        <v>4465</v>
      </c>
      <c r="B425" t="s">
        <v>4466</v>
      </c>
      <c r="C425" t="s">
        <v>3649</v>
      </c>
      <c r="D425" s="8">
        <v>1</v>
      </c>
      <c r="E425" s="9">
        <v>2122.06</v>
      </c>
      <c r="F425" s="8">
        <v>24</v>
      </c>
      <c r="G425" s="10"/>
      <c r="H425" s="9" t="str">
        <f>IF(G425="","",E425*G425)</f>
        <v/>
      </c>
      <c r="I425" s="11" t="str">
        <f>HYPERLINK("https://optomposuda.ru/product/figurka-dekorativnaya-press-pape-knigolyub","открыть")</f>
        <v>открыть</v>
      </c>
    </row>
  </sheetData>
  <autoFilter ref="A7:I7"/>
  <mergeCells count="10">
    <mergeCell ref="A1:I1"/>
    <mergeCell ref="A2:I2"/>
    <mergeCell ref="A3:I3"/>
    <mergeCell ref="A4:I4"/>
    <mergeCell ref="A8:I8"/>
    <mergeCell ref="A64:I64"/>
    <mergeCell ref="A75:I75"/>
    <mergeCell ref="A83:I83"/>
    <mergeCell ref="A320:I320"/>
    <mergeCell ref="A371:I37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4467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SUM(H8:H22)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1752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4468</v>
      </c>
      <c r="B9" t="s">
        <v>4469</v>
      </c>
      <c r="C9" t="s">
        <v>4467</v>
      </c>
      <c r="D9" s="8">
        <v>8</v>
      </c>
      <c r="E9" s="9">
        <v>299.79</v>
      </c>
      <c r="F9" s="8">
        <v>10</v>
      </c>
      <c r="G9" s="10"/>
      <c r="H9" s="9" t="str">
        <f>IF(G9="","",E9*G9)</f>
        <v/>
      </c>
      <c r="I9" s="11" t="str">
        <f>HYPERLINK("https://optomposuda.ru/product/blyudo-26h17-sm-akvarel","открыть")</f>
        <v>открыть</v>
      </c>
    </row>
    <row r="10" spans="1:9" x14ac:dyDescent="0.25">
      <c r="A10" t="s">
        <v>4470</v>
      </c>
      <c r="B10" t="s">
        <v>4471</v>
      </c>
      <c r="C10" t="s">
        <v>4467</v>
      </c>
      <c r="D10" s="8">
        <v>12</v>
      </c>
      <c r="E10" s="9">
        <v>396.23</v>
      </c>
      <c r="F10" s="8">
        <v>17</v>
      </c>
      <c r="G10" s="10"/>
      <c r="H10" s="9" t="str">
        <f>IF(G10="","",E10*G10)</f>
        <v/>
      </c>
      <c r="I10" s="11" t="str">
        <f>HYPERLINK("https://optomposuda.ru/product/blyudo-33h17-sm-rapsodiya","открыть")</f>
        <v>открыть</v>
      </c>
    </row>
    <row r="11" spans="1:9" x14ac:dyDescent="0.25">
      <c r="A11" t="s">
        <v>4472</v>
      </c>
      <c r="B11" t="s">
        <v>4473</v>
      </c>
      <c r="C11" t="s">
        <v>4467</v>
      </c>
      <c r="D11" s="8">
        <v>24</v>
      </c>
      <c r="E11" s="9">
        <v>271.72</v>
      </c>
      <c r="F11" s="8">
        <v>1</v>
      </c>
      <c r="G11" s="10"/>
      <c r="H11" s="9" t="str">
        <f>IF(G11="","",E11*G11)</f>
        <v/>
      </c>
      <c r="I11" s="11" t="str">
        <f>HYPERLINK("https://optomposuda.ru/product/kruzhka-10-sm-370-ml-akvarel","открыть")</f>
        <v>открыть</v>
      </c>
    </row>
    <row r="12" spans="1:9" x14ac:dyDescent="0.25">
      <c r="A12" t="s">
        <v>4474</v>
      </c>
      <c r="B12" t="s">
        <v>4475</v>
      </c>
      <c r="C12" t="s">
        <v>4467</v>
      </c>
      <c r="D12" s="8">
        <v>24</v>
      </c>
      <c r="E12" s="9">
        <v>113.21</v>
      </c>
      <c r="F12" s="8">
        <v>790</v>
      </c>
      <c r="G12" s="10"/>
      <c r="H12" s="9" t="str">
        <f>IF(G12="","",E12*G12)</f>
        <v/>
      </c>
      <c r="I12" s="11" t="str">
        <f>HYPERLINK("https://optomposuda.ru/product/kruzhka-9-sm-260-ml-granaty","открыть")</f>
        <v>открыть</v>
      </c>
    </row>
    <row r="13" spans="1:9" x14ac:dyDescent="0.25">
      <c r="A13" t="s">
        <v>4476</v>
      </c>
      <c r="B13" t="s">
        <v>4477</v>
      </c>
      <c r="C13" t="s">
        <v>4467</v>
      </c>
      <c r="D13" s="8">
        <v>24</v>
      </c>
      <c r="E13" s="9">
        <v>113.21</v>
      </c>
      <c r="F13" s="8">
        <v>720</v>
      </c>
      <c r="G13" s="10"/>
      <c r="H13" s="9" t="str">
        <f>IF(G13="","",E13*G13)</f>
        <v/>
      </c>
      <c r="I13" s="11" t="str">
        <f>HYPERLINK("https://optomposuda.ru/product/kruzhka-9-sm-260-ml-rapsodiya","открыть")</f>
        <v>открыть</v>
      </c>
    </row>
    <row r="14" spans="1:9" x14ac:dyDescent="0.25">
      <c r="A14" t="s">
        <v>4478</v>
      </c>
      <c r="B14" t="s">
        <v>4479</v>
      </c>
      <c r="C14" t="s">
        <v>4467</v>
      </c>
      <c r="D14" s="8">
        <v>12</v>
      </c>
      <c r="E14" s="9">
        <v>263.24</v>
      </c>
      <c r="F14" s="8">
        <v>43</v>
      </c>
      <c r="G14" s="10"/>
      <c r="H14" s="9" t="str">
        <f>IF(G14="","",E14*G14)</f>
        <v/>
      </c>
      <c r="I14" s="11" t="str">
        <f>HYPERLINK("https://optomposuda.ru/product/tarelka-20-sm-rapsodiya","открыть")</f>
        <v>открыть</v>
      </c>
    </row>
    <row r="15" spans="1:9" x14ac:dyDescent="0.25">
      <c r="A15" t="s">
        <v>4480</v>
      </c>
      <c r="B15" t="s">
        <v>4481</v>
      </c>
      <c r="C15" t="s">
        <v>4467</v>
      </c>
      <c r="D15" s="8">
        <v>12</v>
      </c>
      <c r="E15" s="9">
        <v>341.72</v>
      </c>
      <c r="F15" s="8">
        <v>3</v>
      </c>
      <c r="G15" s="10"/>
      <c r="H15" s="9" t="str">
        <f>IF(G15="","",E15*G15)</f>
        <v/>
      </c>
      <c r="I15" s="11" t="str">
        <f>HYPERLINK("https://optomposuda.ru/product/tarelka-26-sm-akvarel","открыть")</f>
        <v>открыть</v>
      </c>
    </row>
    <row r="16" spans="1:9" x14ac:dyDescent="0.25">
      <c r="A16" t="s">
        <v>4482</v>
      </c>
      <c r="B16" t="s">
        <v>4483</v>
      </c>
      <c r="C16" t="s">
        <v>4467</v>
      </c>
      <c r="D16" s="8">
        <v>12</v>
      </c>
      <c r="E16" s="9">
        <v>322.85</v>
      </c>
      <c r="F16" s="8">
        <v>2</v>
      </c>
      <c r="G16" s="10"/>
      <c r="H16" s="9" t="str">
        <f>IF(G16="","",E16*G16)</f>
        <v/>
      </c>
      <c r="I16" s="11" t="str">
        <f>HYPERLINK("https://optomposuda.ru/product/tarelka-26-sm-gonchar","открыть")</f>
        <v>открыть</v>
      </c>
    </row>
    <row r="17" spans="1:9" x14ac:dyDescent="0.25">
      <c r="A17" t="s">
        <v>4484</v>
      </c>
      <c r="B17" t="s">
        <v>4485</v>
      </c>
      <c r="C17" t="s">
        <v>4467</v>
      </c>
      <c r="D17" s="8">
        <v>12</v>
      </c>
      <c r="E17" s="9">
        <v>360.88</v>
      </c>
      <c r="F17" s="8">
        <v>51</v>
      </c>
      <c r="G17" s="10"/>
      <c r="H17" s="9" t="str">
        <f>IF(G17="","",E17*G17)</f>
        <v/>
      </c>
      <c r="I17" s="11" t="str">
        <f>HYPERLINK("https://optomposuda.ru/product/tarelka-26-sm-rapsodiya","открыть")</f>
        <v>открыть</v>
      </c>
    </row>
    <row r="18" spans="1:9" x14ac:dyDescent="0.25">
      <c r="A18" t="s">
        <v>4486</v>
      </c>
      <c r="B18" t="s">
        <v>4487</v>
      </c>
      <c r="C18" t="s">
        <v>4467</v>
      </c>
      <c r="D18" s="8">
        <v>12</v>
      </c>
      <c r="E18" s="9">
        <v>303.99</v>
      </c>
      <c r="F18" s="8">
        <v>18</v>
      </c>
      <c r="G18" s="10"/>
      <c r="H18" s="9" t="str">
        <f>IF(G18="","",E18*G18)</f>
        <v/>
      </c>
      <c r="I18" s="11" t="str">
        <f>HYPERLINK("https://optomposuda.ru/product/tarelka-glubokaya-20-sm-salatnik-rapsodiya","открыть")</f>
        <v>открыть</v>
      </c>
    </row>
    <row r="19" spans="1:9" x14ac:dyDescent="0.25">
      <c r="A19" t="s">
        <v>4488</v>
      </c>
      <c r="B19" t="s">
        <v>4489</v>
      </c>
      <c r="C19" t="s">
        <v>4467</v>
      </c>
      <c r="D19" s="8">
        <v>12</v>
      </c>
      <c r="E19" s="9">
        <v>352.39</v>
      </c>
      <c r="F19" s="8">
        <v>1</v>
      </c>
      <c r="G19" s="10"/>
      <c r="H19" s="9" t="str">
        <f>IF(G19="","",E19*G19)</f>
        <v/>
      </c>
      <c r="I19" s="11" t="str">
        <f>HYPERLINK("https://optomposuda.ru/product/tarelka-glubokaya-20-sm-akvarel","открыть")</f>
        <v>открыть</v>
      </c>
    </row>
    <row r="20" spans="1:9" x14ac:dyDescent="0.25">
      <c r="A20" t="s">
        <v>4490</v>
      </c>
      <c r="B20" t="s">
        <v>4491</v>
      </c>
      <c r="C20" t="s">
        <v>4467</v>
      </c>
      <c r="D20" s="8">
        <v>12</v>
      </c>
      <c r="E20" s="9">
        <v>309.94</v>
      </c>
      <c r="F20" s="8">
        <v>1</v>
      </c>
      <c r="G20" s="10"/>
      <c r="H20" s="9" t="str">
        <f>IF(G20="","",E20*G20)</f>
        <v/>
      </c>
      <c r="I20" s="11" t="str">
        <f>HYPERLINK("https://optomposuda.ru/product/tarelka-glubokaya-22-sm-granaty","открыть")</f>
        <v>открыть</v>
      </c>
    </row>
    <row r="21" spans="1:9" x14ac:dyDescent="0.25">
      <c r="A21" t="s">
        <v>4492</v>
      </c>
      <c r="B21" t="s">
        <v>4493</v>
      </c>
      <c r="C21" t="s">
        <v>4467</v>
      </c>
      <c r="D21" s="8">
        <v>12</v>
      </c>
      <c r="E21" s="9">
        <v>297.21</v>
      </c>
      <c r="F21" s="8">
        <v>36</v>
      </c>
      <c r="G21" s="10"/>
      <c r="H21" s="9" t="str">
        <f>IF(G21="","",E21*G21)</f>
        <v/>
      </c>
      <c r="I21" s="11" t="str">
        <f>HYPERLINK("https://optomposuda.ru/product/chasha-15-sm-akvarel","открыть")</f>
        <v>открыть</v>
      </c>
    </row>
    <row r="22" spans="1:9" x14ac:dyDescent="0.25">
      <c r="A22" t="s">
        <v>4494</v>
      </c>
      <c r="B22" t="s">
        <v>4495</v>
      </c>
      <c r="C22" t="s">
        <v>4467</v>
      </c>
      <c r="D22" s="8">
        <v>3</v>
      </c>
      <c r="E22" s="9">
        <v>457.02</v>
      </c>
      <c r="F22" s="8">
        <v>7</v>
      </c>
      <c r="G22" s="10"/>
      <c r="H22" s="9" t="str">
        <f>IF(G22="","",E22*G22)</f>
        <v/>
      </c>
      <c r="I22" s="11" t="str">
        <f>HYPERLINK("https://optomposuda.ru/product/chasha-23-sm-gonchar","открыть")</f>
        <v>открыть</v>
      </c>
    </row>
  </sheetData>
  <autoFilter ref="A7:I7"/>
  <mergeCells count="5">
    <mergeCell ref="A1:I1"/>
    <mergeCell ref="A2:I2"/>
    <mergeCell ref="A3:I3"/>
    <mergeCell ref="A4:I4"/>
    <mergeCell ref="A8:I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4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4496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SUM(H8:H124)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41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4497</v>
      </c>
      <c r="B9" t="s">
        <v>4498</v>
      </c>
      <c r="C9" t="s">
        <v>4496</v>
      </c>
      <c r="D9" s="8">
        <v>5</v>
      </c>
      <c r="E9" s="9">
        <v>1245</v>
      </c>
      <c r="F9" s="8">
        <v>44</v>
      </c>
      <c r="G9" s="10"/>
      <c r="H9" s="9" t="str">
        <f>IF(G9="","",E9*G9)</f>
        <v/>
      </c>
      <c r="I9" s="11" t="str">
        <f>HYPERLINK("https://optomposuda.ru/product/kazan-pohodnyy-4l-alyuminiy-s-kryshkoy-skovorodoy-kp40","открыть")</f>
        <v>открыть</v>
      </c>
    </row>
    <row r="10" spans="1:9" x14ac:dyDescent="0.25">
      <c r="A10" t="s">
        <v>4499</v>
      </c>
      <c r="B10" t="s">
        <v>4500</v>
      </c>
      <c r="C10" t="s">
        <v>4496</v>
      </c>
      <c r="D10" s="8">
        <v>5</v>
      </c>
      <c r="E10" s="9">
        <v>1461.66</v>
      </c>
      <c r="F10" s="8">
        <v>12</v>
      </c>
      <c r="G10" s="10"/>
      <c r="H10" s="9" t="str">
        <f>IF(G10="","",E10*G10)</f>
        <v/>
      </c>
      <c r="I10" s="11" t="str">
        <f>HYPERLINK("https://optomposuda.ru/product/kazan-pohodnyy-5l-alyuminiy-s-kryshkoy-skovorodoy-kp50","открыть")</f>
        <v>открыть</v>
      </c>
    </row>
    <row r="11" spans="1:9" x14ac:dyDescent="0.25">
      <c r="A11" t="s">
        <v>4501</v>
      </c>
      <c r="B11" t="s">
        <v>4502</v>
      </c>
      <c r="C11" t="s">
        <v>4496</v>
      </c>
      <c r="D11" s="8">
        <v>5</v>
      </c>
      <c r="E11" s="9">
        <v>1659</v>
      </c>
      <c r="F11" s="8">
        <v>142</v>
      </c>
      <c r="G11" s="10"/>
      <c r="H11" s="9" t="str">
        <f>IF(G11="","",E11*G11)</f>
        <v/>
      </c>
      <c r="I11" s="11" t="str">
        <f>HYPERLINK("https://optomposuda.ru/product/kazan-pohodnyy-6l-alyuminiy-s-kryshkoy-kp61","открыть")</f>
        <v>открыть</v>
      </c>
    </row>
    <row r="12" spans="1:9" x14ac:dyDescent="0.25">
      <c r="A12" t="s">
        <v>4503</v>
      </c>
      <c r="B12" t="s">
        <v>4504</v>
      </c>
      <c r="C12" t="s">
        <v>4496</v>
      </c>
      <c r="D12" s="8">
        <v>3</v>
      </c>
      <c r="E12" s="9">
        <v>2290.69</v>
      </c>
      <c r="F12" s="8">
        <v>3</v>
      </c>
      <c r="G12" s="10"/>
      <c r="H12" s="9" t="str">
        <f>IF(G12="","",E12*G12)</f>
        <v/>
      </c>
      <c r="I12" s="11" t="str">
        <f>HYPERLINK("https://optomposuda.ru/product/kotel-pohodnyy-10l-alyuminiy-s-kryshkoy-universalnyy-kp100","открыть")</f>
        <v>открыть</v>
      </c>
    </row>
    <row r="13" spans="1:9" x14ac:dyDescent="0.25">
      <c r="A13" t="s">
        <v>4505</v>
      </c>
      <c r="B13" t="s">
        <v>4506</v>
      </c>
      <c r="C13" t="s">
        <v>4496</v>
      </c>
      <c r="D13" s="8">
        <v>4</v>
      </c>
      <c r="E13" s="9">
        <v>2693</v>
      </c>
      <c r="F13" s="8">
        <v>63</v>
      </c>
      <c r="G13" s="10"/>
      <c r="H13" s="9" t="str">
        <f>IF(G13="","",E13*G13)</f>
        <v/>
      </c>
      <c r="I13" s="11" t="str">
        <f>HYPERLINK("https://optomposuda.ru/product/kotel-pohodnyy-12l-alyuminiy-kp120","открыть")</f>
        <v>открыть</v>
      </c>
    </row>
    <row r="14" spans="1:9" x14ac:dyDescent="0.25">
      <c r="A14" t="s">
        <v>4507</v>
      </c>
      <c r="B14" t="s">
        <v>4508</v>
      </c>
      <c r="C14" t="s">
        <v>4496</v>
      </c>
      <c r="D14" s="8">
        <v>1</v>
      </c>
      <c r="E14" s="9">
        <v>3157</v>
      </c>
      <c r="F14" s="8">
        <v>40</v>
      </c>
      <c r="G14" s="10"/>
      <c r="H14" s="9" t="str">
        <f>IF(G14="","",E14*G14)</f>
        <v/>
      </c>
      <c r="I14" s="11" t="str">
        <f>HYPERLINK("https://optomposuda.ru/product/kotel-pohodnyy-15l-alyuminiy-k152-2sht","открыть")</f>
        <v>открыть</v>
      </c>
    </row>
    <row r="15" spans="1:9" x14ac:dyDescent="0.25">
      <c r="A15" t="s">
        <v>4509</v>
      </c>
      <c r="B15" t="s">
        <v>4510</v>
      </c>
      <c r="C15" t="s">
        <v>4496</v>
      </c>
      <c r="D15" s="8">
        <v>2</v>
      </c>
      <c r="E15" s="9">
        <v>3497</v>
      </c>
      <c r="F15" s="8">
        <v>36</v>
      </c>
      <c r="G15" s="10"/>
      <c r="H15" s="9" t="str">
        <f>IF(G15="","",E15*G15)</f>
        <v/>
      </c>
      <c r="I15" s="11" t="str">
        <f>HYPERLINK("https://optomposuda.ru/product/kotel-pohodnyy-20l-alyuminiy-kp200","открыть")</f>
        <v>открыть</v>
      </c>
    </row>
    <row r="16" spans="1:9" x14ac:dyDescent="0.25">
      <c r="A16" t="s">
        <v>4511</v>
      </c>
      <c r="B16" t="s">
        <v>4512</v>
      </c>
      <c r="C16" t="s">
        <v>4496</v>
      </c>
      <c r="D16" s="8">
        <v>2</v>
      </c>
      <c r="E16" s="9">
        <v>4228</v>
      </c>
      <c r="F16" s="8">
        <v>14</v>
      </c>
      <c r="G16" s="10"/>
      <c r="H16" s="9" t="str">
        <f>IF(G16="","",E16*G16)</f>
        <v/>
      </c>
      <c r="I16" s="11" t="str">
        <f>HYPERLINK("https://optomposuda.ru/product/kotel-pohodnyy-30l-alyuminiy-litoy-kp300","открыть")</f>
        <v>открыть</v>
      </c>
    </row>
    <row r="17" spans="1:9" x14ac:dyDescent="0.25">
      <c r="A17" t="s">
        <v>4513</v>
      </c>
      <c r="B17" t="s">
        <v>4514</v>
      </c>
      <c r="C17" t="s">
        <v>4496</v>
      </c>
      <c r="D17" s="8">
        <v>5</v>
      </c>
      <c r="E17" s="9">
        <v>1166</v>
      </c>
      <c r="F17" s="8">
        <v>53</v>
      </c>
      <c r="G17" s="10"/>
      <c r="H17" s="9" t="str">
        <f>IF(G17="","",E17*G17)</f>
        <v/>
      </c>
      <c r="I17" s="11" t="str">
        <f>HYPERLINK("https://optomposuda.ru/product/kotel-pohodnyy-3l-alyuminiy-s-kryshkoy-kp30","открыть")</f>
        <v>открыть</v>
      </c>
    </row>
    <row r="18" spans="1:9" x14ac:dyDescent="0.25">
      <c r="A18" t="s">
        <v>4515</v>
      </c>
      <c r="B18" t="s">
        <v>4516</v>
      </c>
      <c r="C18" t="s">
        <v>4496</v>
      </c>
      <c r="D18" s="8">
        <v>6</v>
      </c>
      <c r="E18" s="9">
        <v>1553</v>
      </c>
      <c r="F18" s="8">
        <v>29</v>
      </c>
      <c r="G18" s="10"/>
      <c r="H18" s="9" t="str">
        <f>IF(G18="","",E18*G18)</f>
        <v/>
      </c>
      <c r="I18" s="11" t="str">
        <f>HYPERLINK("https://optomposuda.ru/product/kotel-pohodnyy-4-5l-alyuminiy-s-kryshkoy-kp45","открыть")</f>
        <v>открыть</v>
      </c>
    </row>
    <row r="19" spans="1:9" x14ac:dyDescent="0.25">
      <c r="A19" t="s">
        <v>4517</v>
      </c>
      <c r="B19" t="s">
        <v>4518</v>
      </c>
      <c r="C19" t="s">
        <v>4496</v>
      </c>
      <c r="D19" s="8">
        <v>4</v>
      </c>
      <c r="E19" s="9">
        <v>1738</v>
      </c>
      <c r="F19" s="8">
        <v>44</v>
      </c>
      <c r="G19" s="10"/>
      <c r="H19" s="9" t="str">
        <f>IF(G19="","",E19*G19)</f>
        <v/>
      </c>
      <c r="I19" s="11" t="str">
        <f>HYPERLINK("https://optomposuda.ru/product/kotel-pohodnyy-7l-alyuminiy-s-kryshkoy-kp70","открыть")</f>
        <v>открыть</v>
      </c>
    </row>
    <row r="20" spans="1:9" x14ac:dyDescent="0.25">
      <c r="A20" t="s">
        <v>4519</v>
      </c>
      <c r="B20" t="s">
        <v>4520</v>
      </c>
      <c r="C20" t="s">
        <v>4496</v>
      </c>
      <c r="D20" s="8">
        <v>4</v>
      </c>
      <c r="E20" s="9">
        <v>2066.52</v>
      </c>
      <c r="F20" s="8">
        <v>4</v>
      </c>
      <c r="G20" s="10"/>
      <c r="H20" s="9" t="str">
        <f>IF(G20="","",E20*G20)</f>
        <v/>
      </c>
      <c r="I20" s="11" t="str">
        <f>HYPERLINK("https://optomposuda.ru/product/kotel-pohodnyy-8l-alyuminiy-s-kryshkoy-kp80","открыть")</f>
        <v>открыть</v>
      </c>
    </row>
    <row r="21" spans="1:9" x14ac:dyDescent="0.25">
      <c r="A21" t="s">
        <v>4521</v>
      </c>
      <c r="B21" t="s">
        <v>4522</v>
      </c>
      <c r="C21" t="s">
        <v>4496</v>
      </c>
      <c r="D21" s="8">
        <v>4</v>
      </c>
      <c r="E21" s="9">
        <v>2282</v>
      </c>
      <c r="F21" s="8">
        <v>7</v>
      </c>
      <c r="G21" s="10"/>
      <c r="H21" s="9" t="str">
        <f>IF(G21="","",E21*G21)</f>
        <v/>
      </c>
      <c r="I21" s="11" t="str">
        <f>HYPERLINK("https://optomposuda.ru/product/kotel-pohodnyy-9l-alyuminiy-s-kryshkoy-kp90","открыть")</f>
        <v>открыть</v>
      </c>
    </row>
    <row r="22" spans="1:9" x14ac:dyDescent="0.25">
      <c r="A22" t="s">
        <v>4523</v>
      </c>
      <c r="B22" t="s">
        <v>4524</v>
      </c>
      <c r="C22" t="s">
        <v>4496</v>
      </c>
      <c r="D22" s="8">
        <v>1</v>
      </c>
      <c r="E22" s="9">
        <v>2283</v>
      </c>
      <c r="F22" s="8">
        <v>38</v>
      </c>
      <c r="G22" s="10"/>
      <c r="H22" s="9" t="str">
        <f>IF(G22="","",E22*G22)</f>
        <v/>
      </c>
      <c r="I22" s="11" t="str">
        <f>HYPERLINK("https://optomposuda.ru/product/mangal-diplomat-skladnoy-510-340-76-n-650-1-m-01","открыть")</f>
        <v>открыть</v>
      </c>
    </row>
    <row r="23" spans="1:9" x14ac:dyDescent="0.25">
      <c r="A23" t="s">
        <v>4525</v>
      </c>
      <c r="B23" t="s">
        <v>4526</v>
      </c>
      <c r="C23" t="s">
        <v>4496</v>
      </c>
      <c r="D23" s="8">
        <v>1</v>
      </c>
      <c r="E23" s="9">
        <v>2651</v>
      </c>
      <c r="F23" s="8">
        <v>44</v>
      </c>
      <c r="G23" s="10"/>
      <c r="H23" s="9" t="str">
        <f>IF(G23="","",E23*G23)</f>
        <v/>
      </c>
      <c r="I23" s="11" t="str">
        <f>HYPERLINK("https://optomposuda.ru/product/mangal-diplomat-skladnoy-s-shampurami-6sht-510-340-76-n-650-2-m-02","открыть")</f>
        <v>открыть</v>
      </c>
    </row>
    <row r="24" spans="1:9" x14ac:dyDescent="0.25">
      <c r="A24" t="s">
        <v>4527</v>
      </c>
      <c r="B24" t="s">
        <v>4528</v>
      </c>
      <c r="C24" t="s">
        <v>4496</v>
      </c>
      <c r="D24" s="8">
        <v>1</v>
      </c>
      <c r="E24" s="9">
        <v>427</v>
      </c>
      <c r="F24" s="8">
        <v>15</v>
      </c>
      <c r="G24" s="10"/>
      <c r="H24" s="9" t="str">
        <f>IF(G24="","",E24*G24)</f>
        <v/>
      </c>
      <c r="I24" s="11" t="str">
        <f>HYPERLINK("https://optomposuda.ru/product/trenoga-1-dlya-kotla-pohodnogo-t01-860h160h90-n-800-6sht","открыть")</f>
        <v>открыть</v>
      </c>
    </row>
    <row r="25" spans="1:9" x14ac:dyDescent="0.25">
      <c r="A25" t="s">
        <v>4529</v>
      </c>
      <c r="B25" t="s">
        <v>4530</v>
      </c>
      <c r="C25" t="s">
        <v>4496</v>
      </c>
      <c r="D25" s="8">
        <v>1</v>
      </c>
      <c r="E25" s="9">
        <v>655</v>
      </c>
      <c r="F25" s="8">
        <v>44</v>
      </c>
      <c r="G25" s="10"/>
      <c r="H25" s="9" t="str">
        <f>IF(G25="","",E25*G25)</f>
        <v/>
      </c>
      <c r="I25" s="11" t="str">
        <f>HYPERLINK("https://optomposuda.ru/product/trenoga-2-dlya-kotla-pohodnogo-t02-910-100-100-n-850-1sht","открыть")</f>
        <v>открыть</v>
      </c>
    </row>
    <row r="26" spans="1:9" x14ac:dyDescent="0.25">
      <c r="A26" t="s">
        <v>4531</v>
      </c>
      <c r="B26" t="s">
        <v>4532</v>
      </c>
      <c r="C26" t="s">
        <v>4496</v>
      </c>
      <c r="D26" s="8">
        <v>1</v>
      </c>
      <c r="E26" s="9">
        <v>848</v>
      </c>
      <c r="F26" s="8">
        <v>134</v>
      </c>
      <c r="G26" s="10"/>
      <c r="H26" s="9" t="str">
        <f>IF(G26="","",E26*G26)</f>
        <v/>
      </c>
      <c r="I26" s="11" t="str">
        <f>HYPERLINK("https://optomposuda.ru/product/trenoga-2-s-chehlom-860-100-100-n-850-1sht-t021","открыть")</f>
        <v>открыть</v>
      </c>
    </row>
    <row r="27" spans="1:9" x14ac:dyDescent="0.25">
      <c r="A27" t="s">
        <v>4533</v>
      </c>
      <c r="B27" t="s">
        <v>4534</v>
      </c>
      <c r="C27" t="s">
        <v>4496</v>
      </c>
      <c r="D27" s="8">
        <v>1</v>
      </c>
      <c r="E27" s="9">
        <v>781</v>
      </c>
      <c r="F27" s="8">
        <v>10</v>
      </c>
      <c r="G27" s="10"/>
      <c r="H27" s="9" t="str">
        <f>IF(G27="","",E27*G27)</f>
        <v/>
      </c>
      <c r="I27" s="11" t="str">
        <f>HYPERLINK("https://optomposuda.ru/product/trenoga-3-t03-1030-100-100-n-980-1sht","открыть")</f>
        <v>открыть</v>
      </c>
    </row>
    <row r="28" spans="1:9" x14ac:dyDescent="0.25">
      <c r="A28" t="s">
        <v>4535</v>
      </c>
      <c r="B28" t="s">
        <v>4536</v>
      </c>
      <c r="C28" t="s">
        <v>4496</v>
      </c>
      <c r="D28" s="8">
        <v>1</v>
      </c>
      <c r="E28" s="9">
        <v>604</v>
      </c>
      <c r="F28" s="8">
        <v>2</v>
      </c>
      <c r="G28" s="10"/>
      <c r="H28" s="9" t="str">
        <f>IF(G28="","",E28*G28)</f>
        <v/>
      </c>
      <c r="I28" s="11" t="str">
        <f>HYPERLINK("https://optomposuda.ru/product/trenoga-4-dlya-kotla-pohodnogo-4-1030-100-100-n-980-1sht-t04","открыть")</f>
        <v>открыть</v>
      </c>
    </row>
    <row r="29" spans="1:9" x14ac:dyDescent="0.25">
      <c r="A29" t="s">
        <v>4537</v>
      </c>
      <c r="B29" t="s">
        <v>4538</v>
      </c>
      <c r="C29" t="s">
        <v>4496</v>
      </c>
      <c r="D29" s="8">
        <v>1</v>
      </c>
      <c r="E29" s="9">
        <v>621.21</v>
      </c>
      <c r="F29" s="8">
        <v>45</v>
      </c>
      <c r="G29" s="10"/>
      <c r="H29" s="9" t="str">
        <f>IF(G29="","",E29*G29)</f>
        <v/>
      </c>
      <c r="I29" s="11" t="str">
        <f>HYPERLINK("https://optomposuda.ru/product/trenoga-5-s-chehlom-1sht-t05","открыть")</f>
        <v>открыть</v>
      </c>
    </row>
    <row r="30" spans="1:9" x14ac:dyDescent="0.25">
      <c r="A30" t="s">
        <v>4539</v>
      </c>
      <c r="B30" t="s">
        <v>4540</v>
      </c>
      <c r="C30" t="s">
        <v>4496</v>
      </c>
      <c r="D30" s="8">
        <v>1</v>
      </c>
      <c r="E30" s="9">
        <v>1097</v>
      </c>
      <c r="F30" s="8">
        <v>23</v>
      </c>
      <c r="G30" s="10"/>
      <c r="H30" s="9" t="str">
        <f>IF(G30="","",E30*G30)</f>
        <v/>
      </c>
      <c r="I30" s="11" t="str">
        <f>HYPERLINK("https://optomposuda.ru/product/trenoga-6-dlya-kazana-15l-diametr452mm-480-480-200-n-470-4-t06","открыть")</f>
        <v>открыть</v>
      </c>
    </row>
    <row r="31" spans="1:9" x14ac:dyDescent="0.25">
      <c r="A31" t="s">
        <v>4541</v>
      </c>
      <c r="B31" t="s">
        <v>4542</v>
      </c>
      <c r="C31" t="s">
        <v>4496</v>
      </c>
      <c r="D31" s="8">
        <v>4</v>
      </c>
      <c r="E31" s="9">
        <v>1198</v>
      </c>
      <c r="F31" s="8">
        <v>17</v>
      </c>
      <c r="G31" s="10"/>
      <c r="H31" s="9" t="str">
        <f>IF(G31="","",E31*G31)</f>
        <v/>
      </c>
      <c r="I31" s="11" t="str">
        <f>HYPERLINK("https://optomposuda.ru/product/trenoga-7-dlya-kazana-28l-diametr563mm-570-570-200-n-470-t07","открыть")</f>
        <v>открыть</v>
      </c>
    </row>
    <row r="32" spans="1:9" x14ac:dyDescent="0.25">
      <c r="A32" t="s">
        <v>4543</v>
      </c>
      <c r="B32" t="s">
        <v>4544</v>
      </c>
      <c r="C32" t="s">
        <v>4496</v>
      </c>
      <c r="D32" s="8">
        <v>1</v>
      </c>
      <c r="E32" s="9">
        <v>908</v>
      </c>
      <c r="F32" s="8">
        <v>29</v>
      </c>
      <c r="G32" s="10"/>
      <c r="H32" s="9" t="str">
        <f>IF(G32="","",E32*G32)</f>
        <v/>
      </c>
      <c r="I32" s="11" t="str">
        <f>HYPERLINK("https://optomposuda.ru/product/trenoga-8-dvuhmestnaya-910-100-100-n-850-1sht-t08","открыть")</f>
        <v>открыть</v>
      </c>
    </row>
    <row r="33" spans="1:9" x14ac:dyDescent="0.25">
      <c r="A33" t="s">
        <v>4545</v>
      </c>
      <c r="B33" t="s">
        <v>4546</v>
      </c>
      <c r="C33" t="s">
        <v>4496</v>
      </c>
      <c r="D33" s="8">
        <v>2</v>
      </c>
      <c r="E33" s="9">
        <v>2076</v>
      </c>
      <c r="F33" s="8">
        <v>56</v>
      </c>
      <c r="G33" s="10"/>
      <c r="H33" s="9" t="str">
        <f>IF(G33="","",E33*G33)</f>
        <v/>
      </c>
      <c r="I33" s="11" t="str">
        <f>HYPERLINK("https://optomposuda.ru/product/trenoga-9-dlya-kazana-110l-diametr845mm-850h850h100-n-470-t09","открыть")</f>
        <v>открыть</v>
      </c>
    </row>
    <row r="34" spans="1:9" x14ac:dyDescent="0.25">
      <c r="A34" t="s">
        <v>4547</v>
      </c>
      <c r="B34" t="s">
        <v>4548</v>
      </c>
      <c r="C34" t="s">
        <v>4496</v>
      </c>
      <c r="D34" s="8">
        <v>1</v>
      </c>
      <c r="E34" s="9">
        <v>3712</v>
      </c>
      <c r="F34" s="8">
        <v>21</v>
      </c>
      <c r="G34" s="10"/>
      <c r="H34" s="9" t="str">
        <f>IF(G34="","",E34*G34)</f>
        <v/>
      </c>
      <c r="I34" s="11" t="str">
        <f>HYPERLINK("https://optomposuda.ru/product/uchag-dlya-kazana-7l-t-2-0mm-360h360h340-n-530-d-322-sem-nozh-kocherga-kolosnik","открыть")</f>
        <v>открыть</v>
      </c>
    </row>
    <row r="35" spans="1:9" x14ac:dyDescent="0.25">
      <c r="A35" t="s">
        <v>4549</v>
      </c>
      <c r="B35" t="s">
        <v>4550</v>
      </c>
      <c r="C35" t="s">
        <v>4496</v>
      </c>
      <c r="D35" s="8">
        <v>1</v>
      </c>
      <c r="E35" s="9">
        <v>4751</v>
      </c>
      <c r="F35" s="8">
        <v>16</v>
      </c>
      <c r="G35" s="10"/>
      <c r="H35" s="9" t="str">
        <f>IF(G35="","",E35*G35)</f>
        <v/>
      </c>
      <c r="I35" s="11" t="str">
        <f>HYPERLINK("https://optomposuda.ru/product/uchag-12-dlya-kazana-12l-t-2-0mm-460h460h390-n-570-d-406-sem-nozh-kocherga-kolosnik","открыть")</f>
        <v>открыть</v>
      </c>
    </row>
    <row r="36" spans="1:9" x14ac:dyDescent="0.25">
      <c r="A36" t="s">
        <v>4551</v>
      </c>
      <c r="B36" t="s">
        <v>4552</v>
      </c>
      <c r="C36" t="s">
        <v>4496</v>
      </c>
      <c r="D36" s="8">
        <v>1</v>
      </c>
      <c r="E36" s="9">
        <v>4230</v>
      </c>
      <c r="F36" s="8">
        <v>25</v>
      </c>
      <c r="G36" s="10"/>
      <c r="H36" s="9" t="str">
        <f>IF(G36="","",E36*G36)</f>
        <v/>
      </c>
      <c r="I36" s="11" t="str">
        <f>HYPERLINK("https://optomposuda.ru/product/uchag-2-dlya-kazana-9l-t-2-0mm-390h390h370-n-570-d-374-sem-nozh-kocherga-kolosnik","открыть")</f>
        <v>открыть</v>
      </c>
    </row>
    <row r="37" spans="1:9" x14ac:dyDescent="0.25">
      <c r="A37" t="s">
        <v>4553</v>
      </c>
      <c r="B37" t="s">
        <v>4554</v>
      </c>
      <c r="C37" t="s">
        <v>4496</v>
      </c>
      <c r="D37" s="8">
        <v>1</v>
      </c>
      <c r="E37" s="9">
        <v>5291</v>
      </c>
      <c r="F37" s="8">
        <v>18</v>
      </c>
      <c r="G37" s="10"/>
      <c r="H37" s="9" t="str">
        <f>IF(G37="","",E37*G37)</f>
        <v/>
      </c>
      <c r="I37" s="11" t="str">
        <f>HYPERLINK("https://optomposuda.ru/product/uchag-4-dlya-kazana-15l-t-2-0mm-460h460h390-n-580-d-452-sem-nozh-kocherga-kolosnik","открыть")</f>
        <v>открыть</v>
      </c>
    </row>
    <row r="38" spans="1:9" x14ac:dyDescent="0.25">
      <c r="A38" s="7" t="s">
        <v>145</v>
      </c>
      <c r="B38" s="7"/>
      <c r="C38" s="7"/>
      <c r="D38" s="7"/>
      <c r="E38" s="7"/>
      <c r="F38" s="7"/>
      <c r="G38" s="7"/>
      <c r="H38" s="7"/>
      <c r="I38" s="7"/>
    </row>
    <row r="39" spans="1:9" x14ac:dyDescent="0.25">
      <c r="A39" t="s">
        <v>4555</v>
      </c>
      <c r="B39" t="s">
        <v>4556</v>
      </c>
      <c r="C39" t="s">
        <v>4496</v>
      </c>
      <c r="D39" s="8">
        <v>60</v>
      </c>
      <c r="E39" s="9">
        <v>168.2</v>
      </c>
      <c r="F39" s="8">
        <v>426</v>
      </c>
      <c r="G39" s="10"/>
      <c r="H39" s="9" t="str">
        <f>IF(G39="","",E39*G39)</f>
        <v/>
      </c>
      <c r="I39" s="11" t="str">
        <f>HYPERLINK("https://optomposuda.ru/product/9005-kruzhka-alyumin-0-5-l","открыть")</f>
        <v>открыть</v>
      </c>
    </row>
    <row r="40" spans="1:9" x14ac:dyDescent="0.25">
      <c r="A40" t="s">
        <v>4557</v>
      </c>
      <c r="B40" t="s">
        <v>4558</v>
      </c>
      <c r="C40" t="s">
        <v>4496</v>
      </c>
      <c r="D40" s="8">
        <v>1</v>
      </c>
      <c r="E40" s="9">
        <v>1875.49</v>
      </c>
      <c r="F40" s="8">
        <v>2</v>
      </c>
      <c r="G40" s="10"/>
      <c r="H40" s="9" t="str">
        <f>IF(G40="","",E40*G40)</f>
        <v/>
      </c>
      <c r="I40" s="11" t="str">
        <f>HYPERLINK("https://optomposuda.ru/product/gusyatnica-4-5-l-alyuminiy-g45-5sht","открыть")</f>
        <v>открыть</v>
      </c>
    </row>
    <row r="41" spans="1:9" x14ac:dyDescent="0.25">
      <c r="A41" t="s">
        <v>4559</v>
      </c>
      <c r="B41" t="s">
        <v>4560</v>
      </c>
      <c r="C41" t="s">
        <v>4496</v>
      </c>
      <c r="D41" s="8">
        <v>1</v>
      </c>
      <c r="E41" s="9">
        <v>2063.88</v>
      </c>
      <c r="F41" s="8">
        <v>6</v>
      </c>
      <c r="G41" s="10"/>
      <c r="H41" s="9" t="str">
        <f>IF(G41="","",E41*G41)</f>
        <v/>
      </c>
      <c r="I41" s="11" t="str">
        <f>HYPERLINK("https://optomposuda.ru/product/gusyatnica-5-5-l-alyuminiy-g55-5sht","открыть")</f>
        <v>открыть</v>
      </c>
    </row>
    <row r="42" spans="1:9" x14ac:dyDescent="0.25">
      <c r="A42" t="s">
        <v>4561</v>
      </c>
      <c r="B42" t="s">
        <v>4562</v>
      </c>
      <c r="C42" t="s">
        <v>4496</v>
      </c>
      <c r="D42" s="8">
        <v>1</v>
      </c>
      <c r="E42" s="9">
        <v>8307</v>
      </c>
      <c r="F42" s="8">
        <v>6</v>
      </c>
      <c r="G42" s="10"/>
      <c r="H42" s="9" t="str">
        <f>IF(G42="","",E42*G42)</f>
        <v/>
      </c>
      <c r="I42" s="11" t="str">
        <f>HYPERLINK("https://optomposuda.ru/product/kazan-110l-dlya-plova-alyuminiy-bez-kryshki-k1100","открыть")</f>
        <v>открыть</v>
      </c>
    </row>
    <row r="43" spans="1:9" x14ac:dyDescent="0.25">
      <c r="A43" t="s">
        <v>4563</v>
      </c>
      <c r="B43" t="s">
        <v>4564</v>
      </c>
      <c r="C43" t="s">
        <v>4496</v>
      </c>
      <c r="D43" s="8">
        <v>4</v>
      </c>
      <c r="E43" s="9">
        <v>2741.27</v>
      </c>
      <c r="F43" s="8">
        <v>3</v>
      </c>
      <c r="G43" s="10"/>
      <c r="H43" s="9" t="str">
        <f>IF(G43="","",E43*G43)</f>
        <v/>
      </c>
      <c r="I43" s="11" t="str">
        <f>HYPERLINK("https://optomposuda.ru/product/kazan-12l-dlya-plova-alyuminiy-s-kryshkoy","открыть")</f>
        <v>открыть</v>
      </c>
    </row>
    <row r="44" spans="1:9" x14ac:dyDescent="0.25">
      <c r="A44" t="s">
        <v>4565</v>
      </c>
      <c r="B44" t="s">
        <v>4566</v>
      </c>
      <c r="C44" t="s">
        <v>4496</v>
      </c>
      <c r="D44" s="8">
        <v>2</v>
      </c>
      <c r="E44" s="9">
        <v>3177.34</v>
      </c>
      <c r="F44" s="8">
        <v>5</v>
      </c>
      <c r="G44" s="10"/>
      <c r="H44" s="9" t="str">
        <f>IF(G44="","",E44*G44)</f>
        <v/>
      </c>
      <c r="I44" s="11" t="str">
        <f>HYPERLINK("https://optomposuda.ru/product/kazan-15l-dlya-plova-alyuminiy-s-kryshkoy-465-265","открыть")</f>
        <v>открыть</v>
      </c>
    </row>
    <row r="45" spans="1:9" x14ac:dyDescent="0.25">
      <c r="A45" t="s">
        <v>4567</v>
      </c>
      <c r="B45" t="s">
        <v>4568</v>
      </c>
      <c r="C45" t="s">
        <v>4496</v>
      </c>
      <c r="D45" s="8">
        <v>1</v>
      </c>
      <c r="E45" s="9">
        <v>4811.51</v>
      </c>
      <c r="F45" s="8">
        <v>6</v>
      </c>
      <c r="G45" s="10"/>
      <c r="H45" s="9" t="str">
        <f>IF(G45="","",E45*G45)</f>
        <v/>
      </c>
      <c r="I45" s="11" t="str">
        <f>HYPERLINK("https://optomposuda.ru/product/kazan-22l-dlya-plova-alyuminiy-s-kryshkoy-585-195-art-k221","открыть")</f>
        <v>открыть</v>
      </c>
    </row>
    <row r="46" spans="1:9" x14ac:dyDescent="0.25">
      <c r="A46" t="s">
        <v>4569</v>
      </c>
      <c r="B46" t="s">
        <v>4570</v>
      </c>
      <c r="C46" t="s">
        <v>4496</v>
      </c>
      <c r="D46" s="8">
        <v>2</v>
      </c>
      <c r="E46" s="9">
        <v>5530.17</v>
      </c>
      <c r="F46" s="8">
        <v>2</v>
      </c>
      <c r="G46" s="10"/>
      <c r="H46" s="9" t="str">
        <f>IF(G46="","",E46*G46)</f>
        <v/>
      </c>
      <c r="I46" s="11" t="str">
        <f>HYPERLINK("https://optomposuda.ru/product/kazan-28l-dlya-plova-alyuminiy-s-kryshkoy","открыть")</f>
        <v>открыть</v>
      </c>
    </row>
    <row r="47" spans="1:9" x14ac:dyDescent="0.25">
      <c r="A47" t="s">
        <v>4571</v>
      </c>
      <c r="B47" t="s">
        <v>4572</v>
      </c>
      <c r="C47" t="s">
        <v>4496</v>
      </c>
      <c r="D47" s="8">
        <v>6</v>
      </c>
      <c r="E47" s="9">
        <v>1593.97</v>
      </c>
      <c r="F47" s="8">
        <v>11</v>
      </c>
      <c r="G47" s="10"/>
      <c r="H47" s="9" t="str">
        <f>IF(G47="","",E47*G47)</f>
        <v/>
      </c>
      <c r="I47" s="11" t="str">
        <f>HYPERLINK("https://optomposuda.ru/product/kazan-3-5l-dlya-plova-alyuminiy-s-kryshkoy-k35","открыть")</f>
        <v>открыть</v>
      </c>
    </row>
    <row r="48" spans="1:9" x14ac:dyDescent="0.25">
      <c r="A48" t="s">
        <v>4573</v>
      </c>
      <c r="B48" t="s">
        <v>4574</v>
      </c>
      <c r="C48" t="s">
        <v>4496</v>
      </c>
      <c r="D48" s="8">
        <v>6</v>
      </c>
      <c r="E48" s="9">
        <v>1660.64</v>
      </c>
      <c r="F48" s="8">
        <v>14</v>
      </c>
      <c r="G48" s="10"/>
      <c r="H48" s="9" t="str">
        <f>IF(G48="","",E48*G48)</f>
        <v/>
      </c>
      <c r="I48" s="11" t="str">
        <f>HYPERLINK("https://optomposuda.ru/product/kazan-4-5l-dlya-plova-alyuminiy-s-kryshkoy-k45","открыть")</f>
        <v>открыть</v>
      </c>
    </row>
    <row r="49" spans="1:9" x14ac:dyDescent="0.25">
      <c r="A49" t="s">
        <v>4575</v>
      </c>
      <c r="B49" t="s">
        <v>4576</v>
      </c>
      <c r="C49" t="s">
        <v>4496</v>
      </c>
      <c r="D49" s="8">
        <v>2</v>
      </c>
      <c r="E49" s="9">
        <v>5065.52</v>
      </c>
      <c r="F49" s="8">
        <v>4</v>
      </c>
      <c r="G49" s="10"/>
      <c r="H49" s="9" t="str">
        <f>IF(G49="","",E49*G49)</f>
        <v/>
      </c>
      <c r="I49" s="11" t="str">
        <f>HYPERLINK("https://optomposuda.ru/product/kazan-40l-dlya-plova-alyuminiy-bez-kryshki-k410","открыть")</f>
        <v>открыть</v>
      </c>
    </row>
    <row r="50" spans="1:9" x14ac:dyDescent="0.25">
      <c r="A50" t="s">
        <v>4577</v>
      </c>
      <c r="B50" t="s">
        <v>4578</v>
      </c>
      <c r="C50" t="s">
        <v>4496</v>
      </c>
      <c r="D50" s="8">
        <v>1</v>
      </c>
      <c r="E50" s="9">
        <v>5787</v>
      </c>
      <c r="F50" s="8">
        <v>2</v>
      </c>
      <c r="G50" s="10"/>
      <c r="H50" s="9" t="str">
        <f>IF(G50="","",E50*G50)</f>
        <v/>
      </c>
      <c r="I50" s="11" t="str">
        <f>HYPERLINK("https://optomposuda.ru/product/kazan-60l-dlya-plova-alyuminiy-bez-kryshki-k600","открыть")</f>
        <v>открыть</v>
      </c>
    </row>
    <row r="51" spans="1:9" x14ac:dyDescent="0.25">
      <c r="A51" t="s">
        <v>4579</v>
      </c>
      <c r="B51" t="s">
        <v>4580</v>
      </c>
      <c r="C51" t="s">
        <v>4496</v>
      </c>
      <c r="D51" s="8">
        <v>5</v>
      </c>
      <c r="E51" s="9">
        <v>1787.65</v>
      </c>
      <c r="F51" s="8">
        <v>17</v>
      </c>
      <c r="G51" s="10"/>
      <c r="H51" s="9" t="str">
        <f>IF(G51="","",E51*G51)</f>
        <v/>
      </c>
      <c r="I51" s="11" t="str">
        <f>HYPERLINK("https://optomposuda.ru/product/kazan-6l-dlya-plova-alyuminiy-s-kryshkoy-kz60","открыть")</f>
        <v>открыть</v>
      </c>
    </row>
    <row r="52" spans="1:9" x14ac:dyDescent="0.25">
      <c r="A52" t="s">
        <v>4581</v>
      </c>
      <c r="B52" t="s">
        <v>4582</v>
      </c>
      <c r="C52" t="s">
        <v>4496</v>
      </c>
      <c r="D52" s="8">
        <v>4</v>
      </c>
      <c r="E52" s="9">
        <v>1875.49</v>
      </c>
      <c r="F52" s="8">
        <v>17</v>
      </c>
      <c r="G52" s="10"/>
      <c r="H52" s="9" t="str">
        <f>IF(G52="","",E52*G52)</f>
        <v/>
      </c>
      <c r="I52" s="11" t="str">
        <f>HYPERLINK("https://optomposuda.ru/product/kazan-7l-dlya-plova-alyuminiy-s-kryshkoy-k70","открыть")</f>
        <v>открыть</v>
      </c>
    </row>
    <row r="53" spans="1:9" x14ac:dyDescent="0.25">
      <c r="A53" t="s">
        <v>4583</v>
      </c>
      <c r="B53" t="s">
        <v>4584</v>
      </c>
      <c r="C53" t="s">
        <v>4496</v>
      </c>
      <c r="D53" s="8">
        <v>1</v>
      </c>
      <c r="E53" s="9">
        <v>6693</v>
      </c>
      <c r="F53" s="8">
        <v>19</v>
      </c>
      <c r="G53" s="10"/>
      <c r="H53" s="9" t="str">
        <f>IF(G53="","",E53*G53)</f>
        <v/>
      </c>
      <c r="I53" s="11" t="str">
        <f>HYPERLINK("https://optomposuda.ru/product/kazan-80l-dlya-plova-alyuminiy-bez-kryshki-k800","открыть")</f>
        <v>открыть</v>
      </c>
    </row>
    <row r="54" spans="1:9" x14ac:dyDescent="0.25">
      <c r="A54" t="s">
        <v>4585</v>
      </c>
      <c r="B54" t="s">
        <v>4586</v>
      </c>
      <c r="C54" t="s">
        <v>4496</v>
      </c>
      <c r="D54" s="8">
        <v>5</v>
      </c>
      <c r="E54" s="9">
        <v>2103.05</v>
      </c>
      <c r="F54" s="8">
        <v>19</v>
      </c>
      <c r="G54" s="10"/>
      <c r="H54" s="9" t="str">
        <f>IF(G54="","",E54*G54)</f>
        <v/>
      </c>
      <c r="I54" s="11" t="str">
        <f>HYPERLINK("https://optomposuda.ru/product/kazan-8l-dlya-plova-alyuminiy-s-kryshkoy-k85","открыть")</f>
        <v>открыть</v>
      </c>
    </row>
    <row r="55" spans="1:9" x14ac:dyDescent="0.25">
      <c r="A55" t="s">
        <v>4587</v>
      </c>
      <c r="B55" t="s">
        <v>4588</v>
      </c>
      <c r="C55" t="s">
        <v>4496</v>
      </c>
      <c r="D55" s="8">
        <v>4</v>
      </c>
      <c r="E55" s="9">
        <v>2409.98</v>
      </c>
      <c r="F55" s="8">
        <v>2</v>
      </c>
      <c r="G55" s="10"/>
      <c r="H55" s="9" t="str">
        <f>IF(G55="","",E55*G55)</f>
        <v/>
      </c>
      <c r="I55" s="11" t="str">
        <f>HYPERLINK("https://optomposuda.ru/product/kazan-9l-dlya-plova-alyuminiy-s-kryshkoy-380-230-k90","открыть")</f>
        <v>открыть</v>
      </c>
    </row>
    <row r="56" spans="1:9" x14ac:dyDescent="0.25">
      <c r="A56" t="s">
        <v>4589</v>
      </c>
      <c r="B56" t="s">
        <v>4590</v>
      </c>
      <c r="C56" t="s">
        <v>4496</v>
      </c>
      <c r="D56" s="8">
        <v>4</v>
      </c>
      <c r="E56" s="9">
        <v>1860</v>
      </c>
      <c r="F56" s="8">
        <v>11</v>
      </c>
      <c r="G56" s="10"/>
      <c r="H56" s="9" t="str">
        <f>IF(G56="","",E56*G56)</f>
        <v/>
      </c>
      <c r="I56" s="11" t="str">
        <f>HYPERLINK("https://optomposuda.ru/product/kazan-dlya-plova-3-5l-ap-modern-so-steklyannaya-kryshkaoy-antiprigarnoe-pokrytier-vnesh-kr","открыть")</f>
        <v>открыть</v>
      </c>
    </row>
    <row r="57" spans="1:9" x14ac:dyDescent="0.25">
      <c r="A57" t="s">
        <v>4591</v>
      </c>
      <c r="B57" t="s">
        <v>4592</v>
      </c>
      <c r="C57" t="s">
        <v>4496</v>
      </c>
      <c r="D57" s="8">
        <v>4</v>
      </c>
      <c r="E57" s="9">
        <v>2272.9</v>
      </c>
      <c r="F57" s="8">
        <v>9</v>
      </c>
      <c r="G57" s="10"/>
      <c r="H57" s="9" t="str">
        <f>IF(G57="","",E57*G57)</f>
        <v/>
      </c>
      <c r="I57" s="11" t="str">
        <f>HYPERLINK("https://optomposuda.ru/product/kazan-dlya-plova-3-5l-ap-antiprig-pokr-k35a","открыть")</f>
        <v>открыть</v>
      </c>
    </row>
    <row r="58" spans="1:9" x14ac:dyDescent="0.25">
      <c r="A58" t="s">
        <v>4593</v>
      </c>
      <c r="B58" t="s">
        <v>4594</v>
      </c>
      <c r="C58" t="s">
        <v>4496</v>
      </c>
      <c r="D58" s="8">
        <v>4</v>
      </c>
      <c r="E58" s="9">
        <v>1867.09</v>
      </c>
      <c r="F58" s="8">
        <v>10</v>
      </c>
      <c r="G58" s="10"/>
      <c r="H58" s="9" t="str">
        <f>IF(G58="","",E58*G58)</f>
        <v/>
      </c>
      <c r="I58" s="11" t="str">
        <f>HYPERLINK("https://optomposuda.ru/product/kazan-dlya-plova-3-5l-so-steklyannoy-kryshkoy-ap-kofeynyy-mramor-kmk37a","открыть")</f>
        <v>открыть</v>
      </c>
    </row>
    <row r="59" spans="1:9" x14ac:dyDescent="0.25">
      <c r="A59" t="s">
        <v>4595</v>
      </c>
      <c r="B59" t="s">
        <v>4596</v>
      </c>
      <c r="C59" t="s">
        <v>4496</v>
      </c>
      <c r="D59" s="8">
        <v>4</v>
      </c>
      <c r="E59" s="9">
        <v>2010.91</v>
      </c>
      <c r="F59" s="8">
        <v>6</v>
      </c>
      <c r="G59" s="10"/>
      <c r="H59" s="9" t="str">
        <f>IF(G59="","",E59*G59)</f>
        <v/>
      </c>
      <c r="I59" s="11" t="str">
        <f>HYPERLINK("https://optomposuda.ru/product/kazan-dlya-plova-3-5l-so-steklyannoy-kryshkoy-ap-temnyy-mramor-kmt37a","открыть")</f>
        <v>открыть</v>
      </c>
    </row>
    <row r="60" spans="1:9" x14ac:dyDescent="0.25">
      <c r="A60" t="s">
        <v>4597</v>
      </c>
      <c r="B60" t="s">
        <v>4598</v>
      </c>
      <c r="C60" t="s">
        <v>4496</v>
      </c>
      <c r="D60" s="8">
        <v>3</v>
      </c>
      <c r="E60" s="9">
        <v>2526.77</v>
      </c>
      <c r="F60" s="8">
        <v>27</v>
      </c>
      <c r="G60" s="10"/>
      <c r="H60" s="9" t="str">
        <f>IF(G60="","",E60*G60)</f>
        <v/>
      </c>
      <c r="I60" s="11" t="str">
        <f>HYPERLINK("https://optomposuda.ru/product/kazan-dlya-plova-4-5l-ap-antiprig-pokr-k45a","открыть")</f>
        <v>открыть</v>
      </c>
    </row>
    <row r="61" spans="1:9" x14ac:dyDescent="0.25">
      <c r="A61" t="s">
        <v>4599</v>
      </c>
      <c r="B61" t="s">
        <v>4600</v>
      </c>
      <c r="C61" t="s">
        <v>4496</v>
      </c>
      <c r="D61" s="8">
        <v>3</v>
      </c>
      <c r="E61" s="9">
        <v>2258.91</v>
      </c>
      <c r="F61" s="8">
        <v>8</v>
      </c>
      <c r="G61" s="10"/>
      <c r="H61" s="9" t="str">
        <f>IF(G61="","",E61*G61)</f>
        <v/>
      </c>
      <c r="I61" s="11" t="str">
        <f>HYPERLINK("https://optomposuda.ru/product/kazan-dlya-plova-4-5l-so-steklyannoy-kryshkoy-ap-kofeynyy-mramor-kmk47a","открыть")</f>
        <v>открыть</v>
      </c>
    </row>
    <row r="62" spans="1:9" x14ac:dyDescent="0.25">
      <c r="A62" t="s">
        <v>4601</v>
      </c>
      <c r="B62" t="s">
        <v>4602</v>
      </c>
      <c r="C62" t="s">
        <v>4496</v>
      </c>
      <c r="D62" s="8">
        <v>3</v>
      </c>
      <c r="E62" s="9">
        <v>2457</v>
      </c>
      <c r="F62" s="8">
        <v>16</v>
      </c>
      <c r="G62" s="10"/>
      <c r="H62" s="9" t="str">
        <f>IF(G62="","",E62*G62)</f>
        <v/>
      </c>
      <c r="I62" s="11" t="str">
        <f>HYPERLINK("https://optomposuda.ru/product/kazan-dlya-plova-6l-ap-antiprig-pokr-kz60a","открыть")</f>
        <v>открыть</v>
      </c>
    </row>
    <row r="63" spans="1:9" x14ac:dyDescent="0.25">
      <c r="A63" t="s">
        <v>4603</v>
      </c>
      <c r="B63" t="s">
        <v>4604</v>
      </c>
      <c r="C63" t="s">
        <v>4496</v>
      </c>
      <c r="D63" s="8">
        <v>2</v>
      </c>
      <c r="E63" s="9">
        <v>2688.9</v>
      </c>
      <c r="F63" s="8">
        <v>1</v>
      </c>
      <c r="G63" s="10"/>
      <c r="H63" s="9" t="str">
        <f>IF(G63="","",E63*G63)</f>
        <v/>
      </c>
      <c r="I63" s="11" t="str">
        <f>HYPERLINK("https://optomposuda.ru/product/kazan-dlya-plova-6l-ap-temnyy-mramor-kmt65a","открыть")</f>
        <v>открыть</v>
      </c>
    </row>
    <row r="64" spans="1:9" x14ac:dyDescent="0.25">
      <c r="A64" t="s">
        <v>4605</v>
      </c>
      <c r="B64" t="s">
        <v>4606</v>
      </c>
      <c r="C64" t="s">
        <v>4496</v>
      </c>
      <c r="D64" s="8">
        <v>3</v>
      </c>
      <c r="E64" s="9">
        <v>2561</v>
      </c>
      <c r="F64" s="8">
        <v>31</v>
      </c>
      <c r="G64" s="10"/>
      <c r="H64" s="9" t="str">
        <f>IF(G64="","",E64*G64)</f>
        <v/>
      </c>
      <c r="I64" s="11" t="str">
        <f>HYPERLINK("https://optomposuda.ru/product/kazan-dlya-plova-7l-ap-antiprig-pokr-k70a","открыть")</f>
        <v>открыть</v>
      </c>
    </row>
    <row r="65" spans="1:9" x14ac:dyDescent="0.25">
      <c r="A65" t="s">
        <v>4607</v>
      </c>
      <c r="B65" t="s">
        <v>4608</v>
      </c>
      <c r="C65" t="s">
        <v>4496</v>
      </c>
      <c r="D65" s="8">
        <v>2</v>
      </c>
      <c r="E65" s="9">
        <v>2796.9</v>
      </c>
      <c r="F65" s="8">
        <v>2</v>
      </c>
      <c r="G65" s="10"/>
      <c r="H65" s="9" t="str">
        <f>IF(G65="","",E65*G65)</f>
        <v/>
      </c>
      <c r="I65" s="11" t="str">
        <f>HYPERLINK("https://optomposuda.ru/product/kazan-dlya-plova-7l-ap-kofeynyy-mramor-kmk75a","открыть")</f>
        <v>открыть</v>
      </c>
    </row>
    <row r="66" spans="1:9" x14ac:dyDescent="0.25">
      <c r="A66" t="s">
        <v>4609</v>
      </c>
      <c r="B66" t="s">
        <v>4610</v>
      </c>
      <c r="C66" t="s">
        <v>4496</v>
      </c>
      <c r="D66" s="8">
        <v>3</v>
      </c>
      <c r="E66" s="9">
        <v>3175</v>
      </c>
      <c r="F66" s="8">
        <v>131</v>
      </c>
      <c r="G66" s="10"/>
      <c r="H66" s="9" t="str">
        <f>IF(G66="","",E66*G66)</f>
        <v/>
      </c>
      <c r="I66" s="11" t="str">
        <f>HYPERLINK("https://optomposuda.ru/product/kazan-dlya-plova-9l-ap-antiprig-pokr-k90a","открыть")</f>
        <v>открыть</v>
      </c>
    </row>
    <row r="67" spans="1:9" x14ac:dyDescent="0.25">
      <c r="A67" t="s">
        <v>4611</v>
      </c>
      <c r="B67" t="s">
        <v>4612</v>
      </c>
      <c r="C67" t="s">
        <v>4496</v>
      </c>
      <c r="D67" s="8">
        <v>2</v>
      </c>
      <c r="E67" s="9">
        <v>3227</v>
      </c>
      <c r="F67" s="8">
        <v>4</v>
      </c>
      <c r="G67" s="10"/>
      <c r="H67" s="9" t="str">
        <f>IF(G67="","",E67*G67)</f>
        <v/>
      </c>
      <c r="I67" s="11" t="str">
        <f>HYPERLINK("https://optomposuda.ru/product/kastryulya-10l-so-steklyannaya-kryshkaoy-ap-temnyy-mramor-kmt102a-kmt102-1a","открыть")</f>
        <v>открыть</v>
      </c>
    </row>
    <row r="68" spans="1:9" x14ac:dyDescent="0.25">
      <c r="A68" t="s">
        <v>4613</v>
      </c>
      <c r="B68" t="s">
        <v>4614</v>
      </c>
      <c r="C68" t="s">
        <v>4496</v>
      </c>
      <c r="D68" s="8">
        <v>4</v>
      </c>
      <c r="E68" s="9">
        <v>2543.35</v>
      </c>
      <c r="F68" s="8">
        <v>12</v>
      </c>
      <c r="G68" s="10"/>
      <c r="H68" s="9" t="str">
        <f>IF(G68="","",E68*G68)</f>
        <v/>
      </c>
      <c r="I68" s="11" t="str">
        <f>HYPERLINK("https://optomposuda.ru/product/kastryulya-12l-alyuminiy-kl120","открыть")</f>
        <v>открыть</v>
      </c>
    </row>
    <row r="69" spans="1:9" x14ac:dyDescent="0.25">
      <c r="A69" t="s">
        <v>4615</v>
      </c>
      <c r="B69" t="s">
        <v>4616</v>
      </c>
      <c r="C69" t="s">
        <v>4496</v>
      </c>
      <c r="D69" s="8">
        <v>5</v>
      </c>
      <c r="E69" s="9">
        <v>1135.67</v>
      </c>
      <c r="F69" s="8">
        <v>23</v>
      </c>
      <c r="G69" s="10"/>
      <c r="H69" s="9" t="str">
        <f>IF(G69="","",E69*G69)</f>
        <v/>
      </c>
      <c r="I69" s="11" t="str">
        <f>HYPERLINK("https://optomposuda.ru/product/kastryulya-2l-alyuminiy-k20","открыть")</f>
        <v>открыть</v>
      </c>
    </row>
    <row r="70" spans="1:9" x14ac:dyDescent="0.25">
      <c r="A70" t="s">
        <v>4617</v>
      </c>
      <c r="B70" t="s">
        <v>4618</v>
      </c>
      <c r="C70" t="s">
        <v>4496</v>
      </c>
      <c r="D70" s="8">
        <v>3</v>
      </c>
      <c r="E70" s="9">
        <v>1597.95</v>
      </c>
      <c r="F70" s="8">
        <v>12</v>
      </c>
      <c r="G70" s="10"/>
      <c r="H70" s="9" t="str">
        <f>IF(G70="","",E70*G70)</f>
        <v/>
      </c>
      <c r="I70" s="11" t="str">
        <f>HYPERLINK("https://optomposuda.ru/product/kastryulya-2l-so-steklyannoy-kryshkoy-ap-svetlyy-mramor-kms22a","открыть")</f>
        <v>открыть</v>
      </c>
    </row>
    <row r="71" spans="1:9" x14ac:dyDescent="0.25">
      <c r="A71" t="s">
        <v>4619</v>
      </c>
      <c r="B71" t="s">
        <v>4620</v>
      </c>
      <c r="C71" t="s">
        <v>4496</v>
      </c>
      <c r="D71" s="8">
        <v>5</v>
      </c>
      <c r="E71" s="9">
        <v>1323.01</v>
      </c>
      <c r="F71" s="8">
        <v>29</v>
      </c>
      <c r="G71" s="10"/>
      <c r="H71" s="9" t="str">
        <f>IF(G71="","",E71*G71)</f>
        <v/>
      </c>
      <c r="I71" s="11" t="str">
        <f>HYPERLINK("https://optomposuda.ru/product/kastryulya-3l-alyuminiy-k30","открыть")</f>
        <v>открыть</v>
      </c>
    </row>
    <row r="72" spans="1:9" x14ac:dyDescent="0.25">
      <c r="A72" t="s">
        <v>4621</v>
      </c>
      <c r="B72" t="s">
        <v>4622</v>
      </c>
      <c r="C72" t="s">
        <v>4496</v>
      </c>
      <c r="D72" s="8">
        <v>3</v>
      </c>
      <c r="E72" s="9">
        <v>1799.03</v>
      </c>
      <c r="F72" s="8">
        <v>2</v>
      </c>
      <c r="G72" s="10"/>
      <c r="H72" s="9" t="str">
        <f>IF(G72="","",E72*G72)</f>
        <v/>
      </c>
      <c r="I72" s="11" t="str">
        <f>HYPERLINK("https://optomposuda.ru/product/kastryulya-3l-so-steklyannoy-kryshkoy-ap-kofeynyy-mramor-kmk32a","открыть")</f>
        <v>открыть</v>
      </c>
    </row>
    <row r="73" spans="1:9" x14ac:dyDescent="0.25">
      <c r="A73" t="s">
        <v>4623</v>
      </c>
      <c r="B73" t="s">
        <v>4624</v>
      </c>
      <c r="C73" t="s">
        <v>4496</v>
      </c>
      <c r="D73" s="8">
        <v>3</v>
      </c>
      <c r="E73" s="9">
        <v>1799</v>
      </c>
      <c r="F73" s="8">
        <v>6</v>
      </c>
      <c r="G73" s="10"/>
      <c r="H73" s="9" t="str">
        <f>IF(G73="","",E73*G73)</f>
        <v/>
      </c>
      <c r="I73" s="11" t="str">
        <f>HYPERLINK("https://optomposuda.ru/product/kastryulya-3l-so-steklyannoy-kryshkoy-ap-svetlyy-mramor-kms32a","открыть")</f>
        <v>открыть</v>
      </c>
    </row>
    <row r="74" spans="1:9" x14ac:dyDescent="0.25">
      <c r="A74" t="s">
        <v>4625</v>
      </c>
      <c r="B74" t="s">
        <v>4626</v>
      </c>
      <c r="C74" t="s">
        <v>4496</v>
      </c>
      <c r="D74" s="8">
        <v>5</v>
      </c>
      <c r="E74" s="9">
        <v>1528.34</v>
      </c>
      <c r="F74" s="8">
        <v>16</v>
      </c>
      <c r="G74" s="10"/>
      <c r="H74" s="9" t="str">
        <f>IF(G74="","",E74*G74)</f>
        <v/>
      </c>
      <c r="I74" s="11" t="str">
        <f>HYPERLINK("https://optomposuda.ru/product/kastryulya-4l-alyuminiy-k40","открыть")</f>
        <v>открыть</v>
      </c>
    </row>
    <row r="75" spans="1:9" x14ac:dyDescent="0.25">
      <c r="A75" t="s">
        <v>4627</v>
      </c>
      <c r="B75" t="s">
        <v>4628</v>
      </c>
      <c r="C75" t="s">
        <v>4496</v>
      </c>
      <c r="D75" s="8">
        <v>3</v>
      </c>
      <c r="E75" s="9">
        <v>2035.94</v>
      </c>
      <c r="F75" s="8">
        <v>5</v>
      </c>
      <c r="G75" s="10"/>
      <c r="H75" s="9" t="str">
        <f>IF(G75="","",E75*G75)</f>
        <v/>
      </c>
      <c r="I75" s="11" t="str">
        <f>HYPERLINK("https://optomposuda.ru/product/kastryulya-4l-so-steklyannoy-kryshkoy-ap-svetlyy-mramor-kms42a","открыть")</f>
        <v>открыть</v>
      </c>
    </row>
    <row r="76" spans="1:9" x14ac:dyDescent="0.25">
      <c r="A76" t="s">
        <v>4629</v>
      </c>
      <c r="B76" t="s">
        <v>4630</v>
      </c>
      <c r="C76" t="s">
        <v>4496</v>
      </c>
      <c r="D76" s="8">
        <v>2</v>
      </c>
      <c r="E76" s="9">
        <v>3119</v>
      </c>
      <c r="F76" s="8">
        <v>4</v>
      </c>
      <c r="G76" s="10"/>
      <c r="H76" s="9" t="str">
        <f>IF(G76="","",E76*G76)</f>
        <v/>
      </c>
      <c r="I76" s="11" t="str">
        <f>HYPERLINK("https://optomposuda.ru/product/kastryulya-8l-so-steklyannaya-kryshkaoy-ap-liniya-granit-ultra-original-d-30-5-v-18-kgo82a","открыть")</f>
        <v>открыть</v>
      </c>
    </row>
    <row r="77" spans="1:9" x14ac:dyDescent="0.25">
      <c r="A77" t="s">
        <v>4631</v>
      </c>
      <c r="B77" t="s">
        <v>4632</v>
      </c>
      <c r="C77" t="s">
        <v>4496</v>
      </c>
      <c r="D77" s="8">
        <v>2</v>
      </c>
      <c r="E77" s="9">
        <v>2877</v>
      </c>
      <c r="F77" s="8">
        <v>6</v>
      </c>
      <c r="G77" s="10"/>
      <c r="H77" s="9" t="str">
        <f>IF(G77="","",E77*G77)</f>
        <v/>
      </c>
      <c r="I77" s="11" t="str">
        <f>HYPERLINK("https://optomposuda.ru/product/kastryulya-8l-so-steklyannoy-kryshkoy-ap-temnyy-mramor-kmt82a-kmt82a-1a","открыть")</f>
        <v>открыть</v>
      </c>
    </row>
    <row r="78" spans="1:9" x14ac:dyDescent="0.25">
      <c r="A78" t="s">
        <v>4633</v>
      </c>
      <c r="B78" t="s">
        <v>4634</v>
      </c>
      <c r="C78" t="s">
        <v>4496</v>
      </c>
      <c r="D78" s="8">
        <v>5</v>
      </c>
      <c r="E78" s="9">
        <v>1547.38</v>
      </c>
      <c r="F78" s="8">
        <v>25</v>
      </c>
      <c r="G78" s="10"/>
      <c r="H78" s="9" t="str">
        <f>IF(G78="","",E78*G78)</f>
        <v/>
      </c>
      <c r="I78" s="11" t="str">
        <f>HYPERLINK("https://optomposuda.ru/product/kastryulya-zharovnya-4l-alyuminiy-zh40","открыть")</f>
        <v>открыть</v>
      </c>
    </row>
    <row r="79" spans="1:9" x14ac:dyDescent="0.25">
      <c r="A79" t="s">
        <v>4635</v>
      </c>
      <c r="B79" t="s">
        <v>4636</v>
      </c>
      <c r="C79" t="s">
        <v>4496</v>
      </c>
      <c r="D79" s="8">
        <v>4</v>
      </c>
      <c r="E79" s="9">
        <v>1817.28</v>
      </c>
      <c r="F79" s="8">
        <v>18</v>
      </c>
      <c r="G79" s="10"/>
      <c r="H79" s="9" t="str">
        <f>IF(G79="","",E79*G79)</f>
        <v/>
      </c>
      <c r="I79" s="11" t="str">
        <f>HYPERLINK("https://optomposuda.ru/product/kastryulya-zharovnya-5l-alyuminiy-diametrom-28sm-zh-518","открыть")</f>
        <v>открыть</v>
      </c>
    </row>
    <row r="80" spans="1:9" x14ac:dyDescent="0.25">
      <c r="A80" t="s">
        <v>4637</v>
      </c>
      <c r="B80" t="s">
        <v>4638</v>
      </c>
      <c r="C80" t="s">
        <v>4496</v>
      </c>
      <c r="D80" s="8">
        <v>3</v>
      </c>
      <c r="E80" s="9">
        <v>2323</v>
      </c>
      <c r="F80" s="8">
        <v>3</v>
      </c>
      <c r="G80" s="10"/>
      <c r="H80" s="9" t="str">
        <f>IF(G80="","",E80*G80)</f>
        <v/>
      </c>
      <c r="I80" s="11" t="str">
        <f>HYPERLINK("https://optomposuda.ru/product/kastryulya-zharovnya-5l-so-steklyannoy-kryshkoy-ap-temnyy-mramor-zhmt52a","открыть")</f>
        <v>открыть</v>
      </c>
    </row>
    <row r="81" spans="1:9" x14ac:dyDescent="0.25">
      <c r="A81" t="s">
        <v>4639</v>
      </c>
      <c r="B81" t="s">
        <v>4640</v>
      </c>
      <c r="C81" t="s">
        <v>4496</v>
      </c>
      <c r="D81" s="8">
        <v>1</v>
      </c>
      <c r="E81" s="9">
        <v>2016.34</v>
      </c>
      <c r="F81" s="8">
        <v>30</v>
      </c>
      <c r="G81" s="10"/>
      <c r="H81" s="9" t="str">
        <f>IF(G81="","",E81*G81)</f>
        <v/>
      </c>
      <c r="I81" s="11" t="str">
        <f>HYPERLINK("https://optomposuda.ru/product/kotel-20l-alyuminiy-k200-3sht","открыть")</f>
        <v>открыть</v>
      </c>
    </row>
    <row r="82" spans="1:9" x14ac:dyDescent="0.25">
      <c r="A82" t="s">
        <v>4641</v>
      </c>
      <c r="B82" t="s">
        <v>4642</v>
      </c>
      <c r="C82" t="s">
        <v>4496</v>
      </c>
      <c r="D82" s="8">
        <v>1</v>
      </c>
      <c r="E82" s="9">
        <v>2480.96</v>
      </c>
      <c r="F82" s="8">
        <v>28</v>
      </c>
      <c r="G82" s="10"/>
      <c r="H82" s="9" t="str">
        <f>IF(G82="","",E82*G82)</f>
        <v/>
      </c>
      <c r="I82" s="11" t="str">
        <f>HYPERLINK("https://optomposuda.ru/product/kotel-30l-alyuminiy-k300-2sht","открыть")</f>
        <v>открыть</v>
      </c>
    </row>
    <row r="83" spans="1:9" x14ac:dyDescent="0.25">
      <c r="A83" t="s">
        <v>4643</v>
      </c>
      <c r="B83" t="s">
        <v>4644</v>
      </c>
      <c r="C83" t="s">
        <v>4496</v>
      </c>
      <c r="D83" s="8">
        <v>2</v>
      </c>
      <c r="E83" s="9">
        <v>3876</v>
      </c>
      <c r="F83" s="8">
        <v>23</v>
      </c>
      <c r="G83" s="10"/>
      <c r="H83" s="9" t="str">
        <f>IF(G83="","",E83*G83)</f>
        <v/>
      </c>
      <c r="I83" s="11" t="str">
        <f>HYPERLINK("https://optomposuda.ru/product/kotel-40l-alyuminiy-k400","открыть")</f>
        <v>открыть</v>
      </c>
    </row>
    <row r="84" spans="1:9" x14ac:dyDescent="0.25">
      <c r="A84" t="s">
        <v>4645</v>
      </c>
      <c r="B84" t="s">
        <v>4646</v>
      </c>
      <c r="C84" t="s">
        <v>4496</v>
      </c>
      <c r="D84" s="8">
        <v>1</v>
      </c>
      <c r="E84" s="9">
        <v>5326</v>
      </c>
      <c r="F84" s="8">
        <v>7</v>
      </c>
      <c r="G84" s="10"/>
      <c r="H84" s="9" t="str">
        <f>IF(G84="","",E84*G84)</f>
        <v/>
      </c>
      <c r="I84" s="11" t="str">
        <f>HYPERLINK("https://optomposuda.ru/product/kotel-70l-alyuminiy-k700-1sht","открыть")</f>
        <v>открыть</v>
      </c>
    </row>
    <row r="85" spans="1:9" x14ac:dyDescent="0.25">
      <c r="A85" t="s">
        <v>4647</v>
      </c>
      <c r="B85" t="s">
        <v>4648</v>
      </c>
      <c r="C85" t="s">
        <v>4496</v>
      </c>
      <c r="D85" s="8">
        <v>1</v>
      </c>
      <c r="E85" s="9">
        <v>2516</v>
      </c>
      <c r="F85" s="8">
        <v>6</v>
      </c>
      <c r="G85" s="10"/>
      <c r="H85" s="9" t="str">
        <f>IF(G85="","",E85*G85)</f>
        <v/>
      </c>
      <c r="I85" s="11" t="str">
        <f>HYPERLINK("https://optomposuda.ru/product/kotel-pohodnyy-universalnyy-12l-kp121","открыть")</f>
        <v>открыть</v>
      </c>
    </row>
    <row r="86" spans="1:9" x14ac:dyDescent="0.25">
      <c r="A86" t="s">
        <v>4649</v>
      </c>
      <c r="B86" t="s">
        <v>4650</v>
      </c>
      <c r="C86" t="s">
        <v>4496</v>
      </c>
      <c r="D86" s="8">
        <v>1</v>
      </c>
      <c r="E86" s="9">
        <v>1006</v>
      </c>
      <c r="F86" s="8">
        <v>4</v>
      </c>
      <c r="G86" s="10"/>
      <c r="H86" s="9" t="str">
        <f>IF(G86="","",E86*G86)</f>
        <v/>
      </c>
      <c r="I86" s="11" t="str">
        <f>HYPERLINK("https://optomposuda.ru/product/kryshka-dlya-kotla-40l-alyuminiiy-5sht-k401","открыть")</f>
        <v>открыть</v>
      </c>
    </row>
    <row r="87" spans="1:9" x14ac:dyDescent="0.25">
      <c r="A87" t="s">
        <v>4651</v>
      </c>
      <c r="B87" t="s">
        <v>4652</v>
      </c>
      <c r="C87" t="s">
        <v>4496</v>
      </c>
      <c r="D87" s="8">
        <v>1</v>
      </c>
      <c r="E87" s="9">
        <v>1387.76</v>
      </c>
      <c r="F87" s="8">
        <v>5</v>
      </c>
      <c r="G87" s="10"/>
      <c r="H87" s="9" t="str">
        <f>IF(G87="","",E87*G87)</f>
        <v/>
      </c>
      <c r="I87" s="11" t="str">
        <f>HYPERLINK("https://optomposuda.ru/product/protiven-335h220h55mm-ap-antiprig-pokr-p210a-p01a-5sht","открыть")</f>
        <v>открыть</v>
      </c>
    </row>
    <row r="88" spans="1:9" x14ac:dyDescent="0.25">
      <c r="A88" t="s">
        <v>4653</v>
      </c>
      <c r="B88" t="s">
        <v>4654</v>
      </c>
      <c r="C88" t="s">
        <v>4496</v>
      </c>
      <c r="D88" s="8">
        <v>1</v>
      </c>
      <c r="E88" s="9">
        <v>1672.56</v>
      </c>
      <c r="F88" s="8">
        <v>4</v>
      </c>
      <c r="G88" s="10"/>
      <c r="H88" s="9" t="str">
        <f>IF(G88="","",E88*G88)</f>
        <v/>
      </c>
      <c r="I88" s="11" t="str">
        <f>HYPERLINK("https://optomposuda.ru/product/protiven-365h260h55mm-ap-antiprig-pokr-p260a-p02a-5sht","открыть")</f>
        <v>открыть</v>
      </c>
    </row>
    <row r="89" spans="1:9" x14ac:dyDescent="0.25">
      <c r="A89" t="s">
        <v>4655</v>
      </c>
      <c r="B89" t="s">
        <v>4656</v>
      </c>
      <c r="C89" t="s">
        <v>4496</v>
      </c>
      <c r="D89" s="8">
        <v>1</v>
      </c>
      <c r="E89" s="9">
        <v>1987.22</v>
      </c>
      <c r="F89" s="8">
        <v>3</v>
      </c>
      <c r="G89" s="10"/>
      <c r="H89" s="9" t="str">
        <f>IF(G89="","",E89*G89)</f>
        <v/>
      </c>
      <c r="I89" s="11" t="str">
        <f>HYPERLINK("https://optomposuda.ru/product/protiven-400h295h50mm-ap-antiprig-pokr-p306a-p03a-6sht","открыть")</f>
        <v>открыть</v>
      </c>
    </row>
    <row r="90" spans="1:9" x14ac:dyDescent="0.25">
      <c r="A90" t="s">
        <v>4657</v>
      </c>
      <c r="B90" t="s">
        <v>4658</v>
      </c>
      <c r="C90" t="s">
        <v>4496</v>
      </c>
      <c r="D90" s="8">
        <v>1</v>
      </c>
      <c r="E90" s="9">
        <v>521</v>
      </c>
      <c r="F90" s="8">
        <v>105</v>
      </c>
      <c r="G90" s="10"/>
      <c r="H90" s="9" t="str">
        <f>IF(G90="","",E90*G90)</f>
        <v/>
      </c>
      <c r="I90" s="11" t="str">
        <f>HYPERLINK("https://optomposuda.ru/product/skovoroda-180-30mm-alyuminiy-s-litoy-al-ruchkoy-s180-10sht","открыть")</f>
        <v>открыть</v>
      </c>
    </row>
    <row r="91" spans="1:9" x14ac:dyDescent="0.25">
      <c r="A91" t="s">
        <v>4659</v>
      </c>
      <c r="B91" t="s">
        <v>4660</v>
      </c>
      <c r="C91" t="s">
        <v>4496</v>
      </c>
      <c r="D91" s="8">
        <v>5</v>
      </c>
      <c r="E91" s="9">
        <v>1318</v>
      </c>
      <c r="F91" s="8">
        <v>11</v>
      </c>
      <c r="G91" s="10"/>
      <c r="H91" s="9" t="str">
        <f>IF(G91="","",E91*G91)</f>
        <v/>
      </c>
      <c r="I91" s="11" t="str">
        <f>HYPERLINK("https://optomposuda.ru/product/skovoroda-220-50mm-so-semnoy-ruchkoy-ap-mramornoe-kofeynyy-mramor-smk222a","открыть")</f>
        <v>открыть</v>
      </c>
    </row>
    <row r="92" spans="1:9" x14ac:dyDescent="0.25">
      <c r="A92" t="s">
        <v>4661</v>
      </c>
      <c r="B92" t="s">
        <v>4662</v>
      </c>
      <c r="C92" t="s">
        <v>4496</v>
      </c>
      <c r="D92" s="8">
        <v>4</v>
      </c>
      <c r="E92" s="9">
        <v>1266</v>
      </c>
      <c r="F92" s="8">
        <v>1</v>
      </c>
      <c r="G92" s="10"/>
      <c r="H92" s="9" t="str">
        <f>IF(G92="","",E92*G92)</f>
        <v/>
      </c>
      <c r="I92" s="11" t="str">
        <f>HYPERLINK("https://optomposuda.ru/product/skovoroda-220-60mm-s-ruchkoy-ap-mramornoe-temnyy-mramor-smt227a","открыть")</f>
        <v>открыть</v>
      </c>
    </row>
    <row r="93" spans="1:9" x14ac:dyDescent="0.25">
      <c r="A93" t="s">
        <v>4663</v>
      </c>
      <c r="B93" t="s">
        <v>4664</v>
      </c>
      <c r="C93" t="s">
        <v>4496</v>
      </c>
      <c r="D93" s="8">
        <v>1</v>
      </c>
      <c r="E93" s="9">
        <v>507.21</v>
      </c>
      <c r="F93" s="8">
        <v>1</v>
      </c>
      <c r="G93" s="10"/>
      <c r="H93" s="9" t="str">
        <f>IF(G93="","",E93*G93)</f>
        <v/>
      </c>
      <c r="I93" s="11" t="str">
        <f>HYPERLINK("https://optomposuda.ru/product/skovoroda-240-60mm-alyuminiy-s-utol-dnom-s240-10sht","открыть")</f>
        <v>открыть</v>
      </c>
    </row>
    <row r="94" spans="1:9" x14ac:dyDescent="0.25">
      <c r="A94" t="s">
        <v>4665</v>
      </c>
      <c r="B94" t="s">
        <v>4666</v>
      </c>
      <c r="C94" t="s">
        <v>4496</v>
      </c>
      <c r="D94" s="8">
        <v>1</v>
      </c>
      <c r="E94" s="9">
        <v>1655</v>
      </c>
      <c r="F94" s="8">
        <v>1</v>
      </c>
      <c r="G94" s="10"/>
      <c r="H94" s="9" t="str">
        <f>IF(G94="","",E94*G94)</f>
        <v/>
      </c>
      <c r="I94" s="11" t="str">
        <f>HYPERLINK("https://optomposuda.ru/product/skovoroda-240-60mm-ap-so-semnoy-ruch-stek-kr-svetloe-antiprig-pokr-s247as-4sht","открыть")</f>
        <v>открыть</v>
      </c>
    </row>
    <row r="95" spans="1:9" x14ac:dyDescent="0.25">
      <c r="A95" t="s">
        <v>4667</v>
      </c>
      <c r="B95" t="s">
        <v>4668</v>
      </c>
      <c r="C95" t="s">
        <v>4496</v>
      </c>
      <c r="D95" s="8">
        <v>5</v>
      </c>
      <c r="E95" s="9">
        <v>1365</v>
      </c>
      <c r="F95" s="8">
        <v>18</v>
      </c>
      <c r="G95" s="10"/>
      <c r="H95" s="9" t="str">
        <f>IF(G95="","",E95*G95)</f>
        <v/>
      </c>
      <c r="I95" s="11" t="str">
        <f>HYPERLINK("https://optomposuda.ru/product/skovoroda-240-60mm-s-ruchkoy-ap-mramornoe-kofeynyy-mramor-smk241a","открыть")</f>
        <v>открыть</v>
      </c>
    </row>
    <row r="96" spans="1:9" x14ac:dyDescent="0.25">
      <c r="A96" t="s">
        <v>4669</v>
      </c>
      <c r="B96" t="s">
        <v>4670</v>
      </c>
      <c r="C96" t="s">
        <v>4496</v>
      </c>
      <c r="D96" s="8">
        <v>5</v>
      </c>
      <c r="E96" s="9">
        <v>1365</v>
      </c>
      <c r="F96" s="8">
        <v>9</v>
      </c>
      <c r="G96" s="10"/>
      <c r="H96" s="9" t="str">
        <f>IF(G96="","",E96*G96)</f>
        <v/>
      </c>
      <c r="I96" s="11" t="str">
        <f>HYPERLINK("https://optomposuda.ru/product/skovoroda-240-60mm-s-ruchkoy-ap-mramornoe-temnyy-mramor-smt241a","открыть")</f>
        <v>открыть</v>
      </c>
    </row>
    <row r="97" spans="1:9" x14ac:dyDescent="0.25">
      <c r="A97" t="s">
        <v>4671</v>
      </c>
      <c r="B97" t="s">
        <v>4672</v>
      </c>
      <c r="C97" t="s">
        <v>4496</v>
      </c>
      <c r="D97" s="8">
        <v>5</v>
      </c>
      <c r="E97" s="9">
        <v>1415.95</v>
      </c>
      <c r="F97" s="8">
        <v>3</v>
      </c>
      <c r="G97" s="10"/>
      <c r="H97" s="9" t="str">
        <f>IF(G97="","",E97*G97)</f>
        <v/>
      </c>
      <c r="I97" s="11" t="str">
        <f>HYPERLINK("https://optomposuda.ru/product/skovoroda-240-60mm-so-semnoy-ruchkoy-ap-mramornoe-kofeynyy-mramor-smk246a","открыть")</f>
        <v>открыть</v>
      </c>
    </row>
    <row r="98" spans="1:9" x14ac:dyDescent="0.25">
      <c r="A98" t="s">
        <v>4673</v>
      </c>
      <c r="B98" t="s">
        <v>4674</v>
      </c>
      <c r="C98" t="s">
        <v>4496</v>
      </c>
      <c r="D98" s="8">
        <v>1</v>
      </c>
      <c r="E98" s="9">
        <v>440.47</v>
      </c>
      <c r="F98" s="8">
        <v>3</v>
      </c>
      <c r="G98" s="10"/>
      <c r="H98" s="9" t="str">
        <f>IF(G98="","",E98*G98)</f>
        <v/>
      </c>
      <c r="I98" s="11" t="str">
        <f>HYPERLINK("https://optomposuda.ru/product/skovoroda-260-35mm-bez-ruchka-alyuminiy-s260-10sht","открыть")</f>
        <v>открыть</v>
      </c>
    </row>
    <row r="99" spans="1:9" x14ac:dyDescent="0.25">
      <c r="A99" t="s">
        <v>4675</v>
      </c>
      <c r="B99" t="s">
        <v>4676</v>
      </c>
      <c r="C99" t="s">
        <v>4496</v>
      </c>
      <c r="D99" s="8">
        <v>1</v>
      </c>
      <c r="E99" s="9">
        <v>937.74</v>
      </c>
      <c r="F99" s="8">
        <v>4</v>
      </c>
      <c r="G99" s="10"/>
      <c r="H99" s="9" t="str">
        <f>IF(G99="","",E99*G99)</f>
        <v/>
      </c>
      <c r="I99" s="11" t="str">
        <f>HYPERLINK("https://optomposuda.ru/product/skovoroda-260-60mm-alyuminiy-s-utol-dnom-s-ruch-s262-10sht","открыть")</f>
        <v>открыть</v>
      </c>
    </row>
    <row r="100" spans="1:9" x14ac:dyDescent="0.25">
      <c r="A100" t="s">
        <v>4677</v>
      </c>
      <c r="B100" t="s">
        <v>4678</v>
      </c>
      <c r="C100" t="s">
        <v>4496</v>
      </c>
      <c r="D100" s="8">
        <v>5</v>
      </c>
      <c r="E100" s="9">
        <v>1496.01</v>
      </c>
      <c r="F100" s="8">
        <v>16</v>
      </c>
      <c r="G100" s="10"/>
      <c r="H100" s="9" t="str">
        <f>IF(G100="","",E100*G100)</f>
        <v/>
      </c>
      <c r="I100" s="11" t="str">
        <f>HYPERLINK("https://optomposuda.ru/product/skovoroda-260-60mm-s-ruchkoy-ap-mramornoe-kofeynyy-mramor-smk262a","открыть")</f>
        <v>открыть</v>
      </c>
    </row>
    <row r="101" spans="1:9" x14ac:dyDescent="0.25">
      <c r="A101" t="s">
        <v>4679</v>
      </c>
      <c r="B101" t="s">
        <v>4680</v>
      </c>
      <c r="C101" t="s">
        <v>4496</v>
      </c>
      <c r="D101" s="8">
        <v>6</v>
      </c>
      <c r="E101" s="9">
        <v>1523.03</v>
      </c>
      <c r="F101" s="8">
        <v>10</v>
      </c>
      <c r="G101" s="10"/>
      <c r="H101" s="9" t="str">
        <f>IF(G101="","",E101*G101)</f>
        <v/>
      </c>
      <c r="I101" s="11" t="str">
        <f>HYPERLINK("https://optomposuda.ru/product/skovoroda-260-60mm-so-semnoy-ruchkoy-ap-mramornoe-kofeynyy-mramor-smk263a","открыть")</f>
        <v>открыть</v>
      </c>
    </row>
    <row r="102" spans="1:9" x14ac:dyDescent="0.25">
      <c r="A102" t="s">
        <v>4681</v>
      </c>
      <c r="B102" t="s">
        <v>4682</v>
      </c>
      <c r="C102" t="s">
        <v>4496</v>
      </c>
      <c r="D102" s="8">
        <v>1</v>
      </c>
      <c r="E102" s="9">
        <v>1735</v>
      </c>
      <c r="F102" s="8">
        <v>4</v>
      </c>
      <c r="G102" s="10"/>
      <c r="H102" s="9" t="str">
        <f>IF(G102="","",E102*G102)</f>
        <v/>
      </c>
      <c r="I102" s="11" t="str">
        <f>HYPERLINK("https://optomposuda.ru/product/skovoroda-280-65-mm-s-ruchkoy-ap-fistashkovyy-mramor-smf281a-4sht","открыть")</f>
        <v>открыть</v>
      </c>
    </row>
    <row r="103" spans="1:9" x14ac:dyDescent="0.25">
      <c r="A103" t="s">
        <v>4683</v>
      </c>
      <c r="B103" t="s">
        <v>4684</v>
      </c>
      <c r="C103" t="s">
        <v>4496</v>
      </c>
      <c r="D103" s="8">
        <v>4</v>
      </c>
      <c r="E103" s="9">
        <v>1735</v>
      </c>
      <c r="F103" s="8">
        <v>2</v>
      </c>
      <c r="G103" s="10"/>
      <c r="H103" s="9" t="str">
        <f>IF(G103="","",E103*G103)</f>
        <v/>
      </c>
      <c r="I103" s="11" t="str">
        <f>HYPERLINK("https://optomposuda.ru/product/skovoroda-280-65mm-s-ruchkoy-ap-temnyy-mramor-smt281a","открыть")</f>
        <v>открыть</v>
      </c>
    </row>
    <row r="104" spans="1:9" x14ac:dyDescent="0.25">
      <c r="A104" t="s">
        <v>4685</v>
      </c>
      <c r="B104" t="s">
        <v>4686</v>
      </c>
      <c r="C104" t="s">
        <v>4496</v>
      </c>
      <c r="D104" s="8">
        <v>1</v>
      </c>
      <c r="E104" s="9">
        <v>1735</v>
      </c>
      <c r="F104" s="8">
        <v>9</v>
      </c>
      <c r="G104" s="10"/>
      <c r="H104" s="9" t="str">
        <f>IF(G104="","",E104*G104)</f>
        <v/>
      </c>
      <c r="I104" s="11" t="str">
        <f>HYPERLINK("https://optomposuda.ru/product/skovoroda-280-65mm-s-ruchkoy-ap-kofeynyy-mramor-smk281a","открыть")</f>
        <v>открыть</v>
      </c>
    </row>
    <row r="105" spans="1:9" x14ac:dyDescent="0.25">
      <c r="A105" t="s">
        <v>4687</v>
      </c>
      <c r="B105" t="s">
        <v>4688</v>
      </c>
      <c r="C105" t="s">
        <v>4496</v>
      </c>
      <c r="D105" s="8">
        <v>1</v>
      </c>
      <c r="E105" s="9">
        <v>1964.92</v>
      </c>
      <c r="F105" s="8">
        <v>12</v>
      </c>
      <c r="G105" s="10"/>
      <c r="H105" s="9" t="str">
        <f>IF(G105="","",E105*G105)</f>
        <v/>
      </c>
      <c r="I105" s="11" t="str">
        <f>HYPERLINK("https://optomposuda.ru/product/skovoroda-280-65mm-so-semnoy-ruchkoy-ap-kofeynyy-mramor-4-smk283a","открыть")</f>
        <v>открыть</v>
      </c>
    </row>
    <row r="106" spans="1:9" x14ac:dyDescent="0.25">
      <c r="A106" t="s">
        <v>4689</v>
      </c>
      <c r="B106" t="s">
        <v>4690</v>
      </c>
      <c r="C106" t="s">
        <v>4496</v>
      </c>
      <c r="D106" s="8">
        <v>4</v>
      </c>
      <c r="E106" s="9">
        <v>2243</v>
      </c>
      <c r="F106" s="8">
        <v>1</v>
      </c>
      <c r="G106" s="10"/>
      <c r="H106" s="9" t="str">
        <f>IF(G106="","",E106*G106)</f>
        <v/>
      </c>
      <c r="I106" s="11" t="str">
        <f>HYPERLINK("https://optomposuda.ru/product/skovoroda-280mm-so-semnoy-ruchkoy-ap-kofeynyy-mramor-liniya-marble-induction-smki282a","открыть")</f>
        <v>открыть</v>
      </c>
    </row>
    <row r="107" spans="1:9" x14ac:dyDescent="0.25">
      <c r="A107" t="s">
        <v>4691</v>
      </c>
      <c r="B107" t="s">
        <v>4692</v>
      </c>
      <c r="C107" t="s">
        <v>4496</v>
      </c>
      <c r="D107" s="8">
        <v>4</v>
      </c>
      <c r="E107" s="9">
        <v>2243</v>
      </c>
      <c r="F107" s="8">
        <v>11</v>
      </c>
      <c r="G107" s="10"/>
      <c r="H107" s="9" t="str">
        <f>IF(G107="","",E107*G107)</f>
        <v/>
      </c>
      <c r="I107" s="11" t="str">
        <f>HYPERLINK("https://optomposuda.ru/product/skovoroda-280mm-so-semnoy-ruchkoy-ap-temnyy-mramor-liniya-marble-induction-smti282a","открыть")</f>
        <v>открыть</v>
      </c>
    </row>
    <row r="108" spans="1:9" x14ac:dyDescent="0.25">
      <c r="A108" t="s">
        <v>4693</v>
      </c>
      <c r="B108" t="s">
        <v>4694</v>
      </c>
      <c r="C108" t="s">
        <v>4496</v>
      </c>
      <c r="D108" s="8">
        <v>6</v>
      </c>
      <c r="E108" s="9">
        <v>1159.46</v>
      </c>
      <c r="F108" s="8">
        <v>16</v>
      </c>
      <c r="G108" s="10"/>
      <c r="H108" s="9" t="str">
        <f>IF(G108="","",E108*G108)</f>
        <v/>
      </c>
      <c r="I108" s="11" t="str">
        <f>HYPERLINK("https://optomposuda.ru/product/skovoroda-blinnaya-200mm-ap-kofeynyy-mramor-sbmk200-1a","открыть")</f>
        <v>открыть</v>
      </c>
    </row>
    <row r="109" spans="1:9" x14ac:dyDescent="0.25">
      <c r="A109" t="s">
        <v>4695</v>
      </c>
      <c r="B109" t="s">
        <v>4696</v>
      </c>
      <c r="C109" t="s">
        <v>4496</v>
      </c>
      <c r="D109" s="8">
        <v>8</v>
      </c>
      <c r="E109" s="9">
        <v>1155</v>
      </c>
      <c r="F109" s="8">
        <v>6</v>
      </c>
      <c r="G109" s="10"/>
      <c r="H109" s="9" t="str">
        <f>IF(G109="","",E109*G109)</f>
        <v/>
      </c>
      <c r="I109" s="11" t="str">
        <f>HYPERLINK("https://optomposuda.ru/product/skovoroda-blinnaya-220mm-ap-kofeynyy-mramor-sbmk220-1a","открыть")</f>
        <v>открыть</v>
      </c>
    </row>
    <row r="110" spans="1:9" x14ac:dyDescent="0.25">
      <c r="A110" t="s">
        <v>4697</v>
      </c>
      <c r="B110" t="s">
        <v>4698</v>
      </c>
      <c r="C110" t="s">
        <v>4496</v>
      </c>
      <c r="D110" s="8">
        <v>12</v>
      </c>
      <c r="E110" s="9">
        <v>1232.01</v>
      </c>
      <c r="F110" s="8">
        <v>6</v>
      </c>
      <c r="G110" s="10"/>
      <c r="H110" s="9" t="str">
        <f>IF(G110="","",E110*G110)</f>
        <v/>
      </c>
      <c r="I110" s="11" t="str">
        <f>HYPERLINK("https://optomposuda.ru/product/skovoroda-blinnaya-220mm-s-ruchkoy-ap-temnyy-mramor-sbmt222a","открыть")</f>
        <v>открыть</v>
      </c>
    </row>
    <row r="111" spans="1:9" x14ac:dyDescent="0.25">
      <c r="A111" t="s">
        <v>4699</v>
      </c>
      <c r="B111" t="s">
        <v>4700</v>
      </c>
      <c r="C111" t="s">
        <v>4496</v>
      </c>
      <c r="D111" s="8">
        <v>6</v>
      </c>
      <c r="E111" s="9">
        <v>1266</v>
      </c>
      <c r="F111" s="8">
        <v>13</v>
      </c>
      <c r="G111" s="10"/>
      <c r="H111" s="9" t="str">
        <f>IF(G111="","",E111*G111)</f>
        <v/>
      </c>
      <c r="I111" s="11" t="str">
        <f>HYPERLINK("https://optomposuda.ru/product/skovoroda-blinnaya-240mm-ap-kofeynyy-mramor-sbmk240-1a","открыть")</f>
        <v>открыть</v>
      </c>
    </row>
    <row r="112" spans="1:9" x14ac:dyDescent="0.25">
      <c r="A112" t="s">
        <v>4701</v>
      </c>
      <c r="B112" t="s">
        <v>4702</v>
      </c>
      <c r="C112" t="s">
        <v>4496</v>
      </c>
      <c r="D112" s="8">
        <v>1</v>
      </c>
      <c r="E112" s="9">
        <v>1464.56</v>
      </c>
      <c r="F112" s="8">
        <v>24</v>
      </c>
      <c r="G112" s="10"/>
      <c r="H112" s="9" t="str">
        <f>IF(G112="","",E112*G112)</f>
        <v/>
      </c>
      <c r="I112" s="11" t="str">
        <f>HYPERLINK("https://optomposuda.ru/product/skovoroda-blinnaya-260mm-s-ruchkoy-ap-kofeynyy-mramor-sbmk262a","открыть")</f>
        <v>открыть</v>
      </c>
    </row>
    <row r="113" spans="1:9" x14ac:dyDescent="0.25">
      <c r="A113" t="s">
        <v>4703</v>
      </c>
      <c r="B113" t="s">
        <v>4704</v>
      </c>
      <c r="C113" t="s">
        <v>4496</v>
      </c>
      <c r="D113" s="8">
        <v>10</v>
      </c>
      <c r="E113" s="9">
        <v>1464.56</v>
      </c>
      <c r="F113" s="8">
        <v>24</v>
      </c>
      <c r="G113" s="10"/>
      <c r="H113" s="9" t="str">
        <f>IF(G113="","",E113*G113)</f>
        <v/>
      </c>
      <c r="I113" s="11" t="str">
        <f>HYPERLINK("https://optomposuda.ru/product/skovoroda-blinnaya-260mm-s-ruchkoy-ap-temnyy-mramor-sbmt262a","открыть")</f>
        <v>открыть</v>
      </c>
    </row>
    <row r="114" spans="1:9" x14ac:dyDescent="0.25">
      <c r="A114" t="s">
        <v>4705</v>
      </c>
      <c r="B114" t="s">
        <v>4706</v>
      </c>
      <c r="C114" t="s">
        <v>4496</v>
      </c>
      <c r="D114" s="8">
        <v>1</v>
      </c>
      <c r="E114" s="9">
        <v>952.7</v>
      </c>
      <c r="F114" s="8">
        <v>5</v>
      </c>
      <c r="G114" s="10"/>
      <c r="H114" s="9" t="str">
        <f>IF(G114="","",E114*G114)</f>
        <v/>
      </c>
      <c r="I114" s="11" t="str">
        <f>HYPERLINK("https://optomposuda.ru/product/skovoroda-blinnaya-d250-ap-a-prigarnoe-pokr-so-sem-ruch-6sht-sb250a","открыть")</f>
        <v>открыть</v>
      </c>
    </row>
    <row r="115" spans="1:9" x14ac:dyDescent="0.25">
      <c r="A115" t="s">
        <v>4707</v>
      </c>
      <c r="B115" t="s">
        <v>4708</v>
      </c>
      <c r="C115" t="s">
        <v>4496</v>
      </c>
      <c r="D115" s="8">
        <v>3</v>
      </c>
      <c r="E115" s="9">
        <v>2209</v>
      </c>
      <c r="F115" s="8">
        <v>25</v>
      </c>
      <c r="G115" s="10"/>
      <c r="H115" s="9" t="str">
        <f>IF(G115="","",E115*G115)</f>
        <v/>
      </c>
      <c r="I115" s="11" t="str">
        <f>HYPERLINK("https://optomposuda.ru/product/soteynik-300-85mm-so-steklyannoy-kryshkoy-ap-svetlyy-mramor-sms308a","открыть")</f>
        <v>открыть</v>
      </c>
    </row>
    <row r="116" spans="1:9" x14ac:dyDescent="0.25">
      <c r="A116" t="s">
        <v>4709</v>
      </c>
      <c r="B116" t="s">
        <v>4710</v>
      </c>
      <c r="C116" t="s">
        <v>4496</v>
      </c>
      <c r="D116" s="8">
        <v>3</v>
      </c>
      <c r="E116" s="9">
        <v>2209</v>
      </c>
      <c r="F116" s="8">
        <v>6</v>
      </c>
      <c r="G116" s="10"/>
      <c r="H116" s="9" t="str">
        <f>IF(G116="","",E116*G116)</f>
        <v/>
      </c>
      <c r="I116" s="11" t="str">
        <f>HYPERLINK("https://optomposuda.ru/product/soteynik-300-85mm-so-steklyannoy-kryshkoy-ap-temnyy-mramor-smt308a","открыть")</f>
        <v>открыть</v>
      </c>
    </row>
    <row r="117" spans="1:9" x14ac:dyDescent="0.25">
      <c r="A117" t="s">
        <v>4711</v>
      </c>
      <c r="B117" t="s">
        <v>4712</v>
      </c>
      <c r="C117" t="s">
        <v>4496</v>
      </c>
      <c r="D117" s="8">
        <v>3</v>
      </c>
      <c r="E117" s="9">
        <v>2209</v>
      </c>
      <c r="F117" s="8">
        <v>10</v>
      </c>
      <c r="G117" s="10"/>
      <c r="H117" s="9" t="str">
        <f>IF(G117="","",E117*G117)</f>
        <v/>
      </c>
      <c r="I117" s="11" t="str">
        <f>HYPERLINK("https://optomposuda.ru/product/soteynik-300-85mm-so-semnymi-ruchkami-steklyannoy-kryshkoy-ap-kofeynyy-mramor-smk308a","открыть")</f>
        <v>открыть</v>
      </c>
    </row>
    <row r="118" spans="1:9" x14ac:dyDescent="0.25">
      <c r="A118" t="s">
        <v>4713</v>
      </c>
      <c r="B118" t="s">
        <v>4714</v>
      </c>
      <c r="C118" t="s">
        <v>4496</v>
      </c>
      <c r="D118" s="8">
        <v>3</v>
      </c>
      <c r="E118" s="9">
        <v>2344.02</v>
      </c>
      <c r="F118" s="8">
        <v>7</v>
      </c>
      <c r="G118" s="10"/>
      <c r="H118" s="9" t="str">
        <f>IF(G118="","",E118*G118)</f>
        <v/>
      </c>
      <c r="I118" s="11" t="str">
        <f>HYPERLINK("https://optomposuda.ru/product/soteynik-320-85mm-so-steklyannoy-kryshkoy-ap-kofeynyy-mramor-smk3281a","открыть")</f>
        <v>открыть</v>
      </c>
    </row>
    <row r="119" spans="1:9" x14ac:dyDescent="0.25">
      <c r="A119" t="s">
        <v>4715</v>
      </c>
      <c r="B119" t="s">
        <v>4716</v>
      </c>
      <c r="C119" t="s">
        <v>4496</v>
      </c>
      <c r="D119" s="8">
        <v>3</v>
      </c>
      <c r="E119" s="9">
        <v>2344</v>
      </c>
      <c r="F119" s="8">
        <v>6</v>
      </c>
      <c r="G119" s="10"/>
      <c r="H119" s="9" t="str">
        <f>IF(G119="","",E119*G119)</f>
        <v/>
      </c>
      <c r="I119" s="11" t="str">
        <f>HYPERLINK("https://optomposuda.ru/product/soteynik-320-85mm-so-steklyannoy-kryshkoy-ap-temnyy-mramor-smt3281a","открыть")</f>
        <v>открыть</v>
      </c>
    </row>
    <row r="120" spans="1:9" x14ac:dyDescent="0.25">
      <c r="A120" t="s">
        <v>4717</v>
      </c>
      <c r="B120" t="s">
        <v>4718</v>
      </c>
      <c r="C120" t="s">
        <v>4496</v>
      </c>
      <c r="D120" s="8">
        <v>1</v>
      </c>
      <c r="E120" s="9">
        <v>1264.34</v>
      </c>
      <c r="F120" s="8">
        <v>3</v>
      </c>
      <c r="G120" s="10"/>
      <c r="H120" s="9" t="str">
        <f>IF(G120="","",E120*G120)</f>
        <v/>
      </c>
      <c r="I120" s="11" t="str">
        <f>HYPERLINK("https://optomposuda.ru/product/forma-dlya-vypechki-pecheniy-alyuminiy-6sht-f02","открыть")</f>
        <v>открыть</v>
      </c>
    </row>
    <row r="121" spans="1:9" x14ac:dyDescent="0.25">
      <c r="A121" t="s">
        <v>4719</v>
      </c>
      <c r="B121" t="s">
        <v>4720</v>
      </c>
      <c r="C121" t="s">
        <v>4496</v>
      </c>
      <c r="D121" s="8">
        <v>1</v>
      </c>
      <c r="E121" s="9">
        <v>1125.18</v>
      </c>
      <c r="F121" s="8">
        <v>5</v>
      </c>
      <c r="G121" s="10"/>
      <c r="H121" s="9" t="str">
        <f>IF(G121="","",E121*G121)</f>
        <v/>
      </c>
      <c r="I121" s="11" t="str">
        <f>HYPERLINK("https://optomposuda.ru/product/forma-dlya-vypechki-pecheniy-s-a-prigarn-pokr-6sht-f02a","открыть")</f>
        <v>открыть</v>
      </c>
    </row>
    <row r="122" spans="1:9" x14ac:dyDescent="0.25">
      <c r="A122" t="s">
        <v>4721</v>
      </c>
      <c r="B122" t="s">
        <v>4722</v>
      </c>
      <c r="C122" t="s">
        <v>4496</v>
      </c>
      <c r="D122" s="8">
        <v>1</v>
      </c>
      <c r="E122" s="9">
        <v>1159</v>
      </c>
      <c r="F122" s="8">
        <v>4</v>
      </c>
      <c r="G122" s="10"/>
      <c r="H122" s="9" t="str">
        <f>IF(G122="","",E122*G122)</f>
        <v/>
      </c>
      <c r="I122" s="11" t="str">
        <f>HYPERLINK("https://optomposuda.ru/product/hlebnaya-forma-500gr-pryamoug-3-h-sekc-h530-325-210-100-1-560-gr","открыть")</f>
        <v>открыть</v>
      </c>
    </row>
    <row r="123" spans="1:9" x14ac:dyDescent="0.25">
      <c r="A123" t="s">
        <v>4723</v>
      </c>
      <c r="B123" t="s">
        <v>4724</v>
      </c>
      <c r="C123" t="s">
        <v>4496</v>
      </c>
      <c r="D123" s="8">
        <v>1</v>
      </c>
      <c r="E123" s="9">
        <v>1597.69</v>
      </c>
      <c r="F123" s="8">
        <v>17</v>
      </c>
      <c r="G123" s="10"/>
      <c r="H123" s="9" t="str">
        <f>IF(G123="","",E123*G123)</f>
        <v/>
      </c>
      <c r="I123" s="11" t="str">
        <f>HYPERLINK("https://optomposuda.ru/product/hlebnaya-forma-l-7-3-h-sekcionnaya-340h220h115-1-807-gr-art-h730-1h3sek","открыть")</f>
        <v>открыть</v>
      </c>
    </row>
    <row r="124" spans="1:9" x14ac:dyDescent="0.25">
      <c r="A124" t="s">
        <v>4725</v>
      </c>
      <c r="B124" t="s">
        <v>4726</v>
      </c>
      <c r="C124" t="s">
        <v>4496</v>
      </c>
      <c r="D124" s="8">
        <v>1</v>
      </c>
      <c r="E124" s="9">
        <v>364</v>
      </c>
      <c r="F124" s="8">
        <v>17</v>
      </c>
      <c r="G124" s="10"/>
      <c r="H124" s="9" t="str">
        <f>IF(G124="","",E124*G124)</f>
        <v/>
      </c>
      <c r="I124" s="11" t="str">
        <f>HYPERLINK("https://optomposuda.ru/product/hlebnaya-forma-l-7-odinarn-ovalnaya-220h110h115-12-h701","открыть")</f>
        <v>открыть</v>
      </c>
    </row>
  </sheetData>
  <autoFilter ref="A7:I7"/>
  <mergeCells count="6">
    <mergeCell ref="A1:I1"/>
    <mergeCell ref="A2:I2"/>
    <mergeCell ref="A3:I3"/>
    <mergeCell ref="A4:I4"/>
    <mergeCell ref="A8:I8"/>
    <mergeCell ref="A38:I3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4727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SUM(H8:H51)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14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4728</v>
      </c>
      <c r="B9" t="s">
        <v>4729</v>
      </c>
      <c r="C9" t="s">
        <v>4727</v>
      </c>
      <c r="D9" s="8">
        <v>24</v>
      </c>
      <c r="E9" s="9">
        <v>200.04</v>
      </c>
      <c r="F9" s="8">
        <v>20</v>
      </c>
      <c r="G9" s="10"/>
      <c r="H9" s="9" t="str">
        <f>IF(G9="","",E9*G9)</f>
        <v/>
      </c>
      <c r="I9" s="11" t="str">
        <f>HYPERLINK("https://optomposuda.ru/product/146-planka-s-kryuchkami-l-146","открыть")</f>
        <v>открыть</v>
      </c>
    </row>
    <row r="10" spans="1:9" x14ac:dyDescent="0.25">
      <c r="A10" t="s">
        <v>4730</v>
      </c>
      <c r="B10" t="s">
        <v>4731</v>
      </c>
      <c r="C10" t="s">
        <v>4727</v>
      </c>
      <c r="D10" s="8">
        <v>60</v>
      </c>
      <c r="E10" s="9">
        <v>44.57</v>
      </c>
      <c r="F10" s="8">
        <v>1062</v>
      </c>
      <c r="G10" s="10"/>
      <c r="H10" s="9" t="str">
        <f>IF(G10="","",E10*G10)</f>
        <v/>
      </c>
      <c r="I10" s="11" t="str">
        <f>HYPERLINK("https://optomposuda.ru/product/299-derzhateli-upory-dlya-dveri-2pr-l-299","открыть")</f>
        <v>открыть</v>
      </c>
    </row>
    <row r="11" spans="1:9" x14ac:dyDescent="0.25">
      <c r="A11" s="7" t="s">
        <v>21</v>
      </c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t="s">
        <v>4732</v>
      </c>
      <c r="B12" t="s">
        <v>4733</v>
      </c>
      <c r="C12" t="s">
        <v>4727</v>
      </c>
      <c r="D12" s="8">
        <v>36</v>
      </c>
      <c r="E12" s="9">
        <v>108.98</v>
      </c>
      <c r="F12" s="8">
        <v>1</v>
      </c>
      <c r="G12" s="10"/>
      <c r="H12" s="9" t="str">
        <f>IF(G12="","",E12*G12)</f>
        <v/>
      </c>
      <c r="I12" s="11" t="str">
        <f>HYPERLINK("https://optomposuda.ru/product/139-kolco-dlya-polotenca-l-139","открыть")</f>
        <v>открыть</v>
      </c>
    </row>
    <row r="13" spans="1:9" x14ac:dyDescent="0.25">
      <c r="A13" t="s">
        <v>4734</v>
      </c>
      <c r="B13" t="s">
        <v>4735</v>
      </c>
      <c r="C13" t="s">
        <v>4727</v>
      </c>
      <c r="D13" s="8">
        <v>36</v>
      </c>
      <c r="E13" s="9">
        <v>97.36</v>
      </c>
      <c r="F13" s="8">
        <v>859</v>
      </c>
      <c r="G13" s="10"/>
      <c r="H13" s="9" t="str">
        <f>IF(G13="","",E13*G13)</f>
        <v/>
      </c>
      <c r="I13" s="11" t="str">
        <f>HYPERLINK("https://optomposuda.ru/product/144-derzhatel-dlya-bumazhnogo-polotenca-shir-23sm-l-144","открыть")</f>
        <v>открыть</v>
      </c>
    </row>
    <row r="14" spans="1:9" x14ac:dyDescent="0.25">
      <c r="A14" t="s">
        <v>4736</v>
      </c>
      <c r="B14" t="s">
        <v>4737</v>
      </c>
      <c r="C14" t="s">
        <v>4727</v>
      </c>
      <c r="D14" s="8">
        <v>24</v>
      </c>
      <c r="E14" s="9">
        <v>65.35</v>
      </c>
      <c r="F14" s="8">
        <v>1918</v>
      </c>
      <c r="G14" s="10"/>
      <c r="H14" s="9" t="str">
        <f>IF(G14="","",E14*G14)</f>
        <v/>
      </c>
      <c r="I14" s="11" t="str">
        <f>HYPERLINK("https://optomposuda.ru/product/145-terka-dlya-orehov-i-chesnoka-l-145","открыть")</f>
        <v>открыть</v>
      </c>
    </row>
    <row r="15" spans="1:9" x14ac:dyDescent="0.25">
      <c r="A15" t="s">
        <v>4738</v>
      </c>
      <c r="B15" t="s">
        <v>4739</v>
      </c>
      <c r="C15" t="s">
        <v>4727</v>
      </c>
      <c r="D15" s="8">
        <v>72</v>
      </c>
      <c r="E15" s="9">
        <v>46.62</v>
      </c>
      <c r="F15" s="8">
        <v>968</v>
      </c>
      <c r="G15" s="10"/>
      <c r="H15" s="9" t="str">
        <f>IF(G15="","",E15*G15)</f>
        <v/>
      </c>
      <c r="I15" s="11" t="str">
        <f>HYPERLINK("https://optomposuda.ru/product/166-dekorator-dlya-kofe-4pr-l-166","открыть")</f>
        <v>открыть</v>
      </c>
    </row>
    <row r="16" spans="1:9" x14ac:dyDescent="0.25">
      <c r="A16" t="s">
        <v>4740</v>
      </c>
      <c r="B16" t="s">
        <v>4741</v>
      </c>
      <c r="C16" t="s">
        <v>4727</v>
      </c>
      <c r="D16" s="8">
        <v>50</v>
      </c>
      <c r="E16" s="9">
        <v>36.25</v>
      </c>
      <c r="F16" s="8">
        <v>1044</v>
      </c>
      <c r="G16" s="10"/>
      <c r="H16" s="9" t="str">
        <f>IF(G16="","",E16*G16)</f>
        <v/>
      </c>
      <c r="I16" s="11" t="str">
        <f>HYPERLINK("https://optomposuda.ru/product/171-formochki-dlya-keksa-diametr-6-5sm-100-sht-na-blistere-v-kor","открыть")</f>
        <v>открыть</v>
      </c>
    </row>
    <row r="17" spans="1:9" x14ac:dyDescent="0.25">
      <c r="A17" t="s">
        <v>4742</v>
      </c>
      <c r="B17" t="s">
        <v>4743</v>
      </c>
      <c r="C17" t="s">
        <v>4727</v>
      </c>
      <c r="D17" s="8">
        <v>48</v>
      </c>
      <c r="E17" s="9">
        <v>60.58</v>
      </c>
      <c r="F17" s="8">
        <v>5451</v>
      </c>
      <c r="G17" s="10"/>
      <c r="H17" s="9" t="str">
        <f>IF(G17="","",E17*G17)</f>
        <v/>
      </c>
      <c r="I17" s="11" t="str">
        <f>HYPERLINK("https://optomposuda.ru/product/172-shpric-konditerskiy-l-172","открыть")</f>
        <v>открыть</v>
      </c>
    </row>
    <row r="18" spans="1:9" x14ac:dyDescent="0.25">
      <c r="A18" t="s">
        <v>4744</v>
      </c>
      <c r="B18" t="s">
        <v>4745</v>
      </c>
      <c r="C18" t="s">
        <v>4727</v>
      </c>
      <c r="D18" s="8">
        <v>60</v>
      </c>
      <c r="E18" s="9">
        <v>45.66</v>
      </c>
      <c r="F18" s="8">
        <v>642</v>
      </c>
      <c r="G18" s="10"/>
      <c r="H18" s="9" t="str">
        <f>IF(G18="","",E18*G18)</f>
        <v/>
      </c>
      <c r="I18" s="11" t="str">
        <f>HYPERLINK("https://optomposuda.ru/product/198-sovki-dlya-sypuchih-4pr","открыть")</f>
        <v>открыть</v>
      </c>
    </row>
    <row r="19" spans="1:9" x14ac:dyDescent="0.25">
      <c r="A19" t="s">
        <v>4746</v>
      </c>
      <c r="B19" t="s">
        <v>4747</v>
      </c>
      <c r="C19" t="s">
        <v>4727</v>
      </c>
      <c r="D19" s="8">
        <v>36</v>
      </c>
      <c r="E19" s="9">
        <v>47.31</v>
      </c>
      <c r="F19" s="8">
        <v>1632</v>
      </c>
      <c r="G19" s="10"/>
      <c r="H19" s="9" t="str">
        <f>IF(G19="","",E19*G19)</f>
        <v/>
      </c>
      <c r="I19" s="11" t="str">
        <f>HYPERLINK("https://optomposuda.ru/product/218-forma-dlya-pechenya-4predm-l-218","открыть")</f>
        <v>открыть</v>
      </c>
    </row>
    <row r="20" spans="1:9" x14ac:dyDescent="0.25">
      <c r="A20" t="s">
        <v>4748</v>
      </c>
      <c r="B20" t="s">
        <v>4749</v>
      </c>
      <c r="C20" t="s">
        <v>4727</v>
      </c>
      <c r="D20" s="8">
        <v>60</v>
      </c>
      <c r="E20" s="9">
        <v>51.82</v>
      </c>
      <c r="F20" s="8">
        <v>812</v>
      </c>
      <c r="G20" s="10"/>
      <c r="H20" s="9" t="str">
        <f>IF(G20="","",E20*G20)</f>
        <v/>
      </c>
      <c r="I20" s="11" t="str">
        <f>HYPERLINK("https://optomposuda.ru/product/221-lozhechki-dlya-sypuchih-4pr","открыть")</f>
        <v>открыть</v>
      </c>
    </row>
    <row r="21" spans="1:9" x14ac:dyDescent="0.25">
      <c r="A21" t="s">
        <v>4750</v>
      </c>
      <c r="B21" t="s">
        <v>4751</v>
      </c>
      <c r="C21" t="s">
        <v>4727</v>
      </c>
      <c r="D21" s="8">
        <v>48</v>
      </c>
      <c r="E21" s="9">
        <v>88.06</v>
      </c>
      <c r="F21" s="8">
        <v>343</v>
      </c>
      <c r="G21" s="10"/>
      <c r="H21" s="9" t="str">
        <f>IF(G21="","",E21*G21)</f>
        <v/>
      </c>
      <c r="I21" s="11" t="str">
        <f>HYPERLINK("https://optomposuda.ru/product/237-terka-dlya-orehov-chesnoka-i-syra-l-237","открыть")</f>
        <v>открыть</v>
      </c>
    </row>
    <row r="22" spans="1:9" x14ac:dyDescent="0.25">
      <c r="A22" t="s">
        <v>4752</v>
      </c>
      <c r="B22" t="s">
        <v>4753</v>
      </c>
      <c r="C22" t="s">
        <v>4727</v>
      </c>
      <c r="D22" s="8">
        <v>24</v>
      </c>
      <c r="E22" s="9">
        <v>57.56</v>
      </c>
      <c r="F22" s="8">
        <v>102</v>
      </c>
      <c r="G22" s="10"/>
      <c r="H22" s="9" t="str">
        <f>IF(G22="","",E22*G22)</f>
        <v/>
      </c>
      <c r="I22" s="11" t="str">
        <f>HYPERLINK("https://optomposuda.ru/product/238-forma-dlya-salatov","открыть")</f>
        <v>открыть</v>
      </c>
    </row>
    <row r="23" spans="1:9" x14ac:dyDescent="0.25">
      <c r="A23" t="s">
        <v>4754</v>
      </c>
      <c r="B23" t="s">
        <v>4755</v>
      </c>
      <c r="C23" t="s">
        <v>4727</v>
      </c>
      <c r="D23" s="8">
        <v>48</v>
      </c>
      <c r="E23" s="9">
        <v>76.02</v>
      </c>
      <c r="F23" s="8">
        <v>1686</v>
      </c>
      <c r="G23" s="10"/>
      <c r="H23" s="9" t="str">
        <f>IF(G23="","",E23*G23)</f>
        <v/>
      </c>
      <c r="I23" s="11" t="str">
        <f>HYPERLINK("https://optomposuda.ru/product/245-prisposoblenie-dlya-sliva-kastryuli-l-245","открыть")</f>
        <v>открыть</v>
      </c>
    </row>
    <row r="24" spans="1:9" x14ac:dyDescent="0.25">
      <c r="A24" t="s">
        <v>4756</v>
      </c>
      <c r="B24" t="s">
        <v>4757</v>
      </c>
      <c r="C24" t="s">
        <v>4727</v>
      </c>
      <c r="D24" s="8">
        <v>120</v>
      </c>
      <c r="E24" s="9">
        <v>40.19</v>
      </c>
      <c r="F24" s="8">
        <v>4518</v>
      </c>
      <c r="G24" s="10"/>
      <c r="H24" s="9" t="str">
        <f>IF(G24="","",E24*G24)</f>
        <v/>
      </c>
      <c r="I24" s="11" t="str">
        <f>HYPERLINK("https://optomposuda.ru/product/246-kistochka-konditerskaya-l-246","открыть")</f>
        <v>открыть</v>
      </c>
    </row>
    <row r="25" spans="1:9" x14ac:dyDescent="0.25">
      <c r="A25" t="s">
        <v>4758</v>
      </c>
      <c r="B25" t="s">
        <v>4759</v>
      </c>
      <c r="C25" t="s">
        <v>4727</v>
      </c>
      <c r="D25" s="8">
        <v>24</v>
      </c>
      <c r="E25" s="9">
        <v>47.58</v>
      </c>
      <c r="F25" s="8">
        <v>854</v>
      </c>
      <c r="G25" s="10"/>
      <c r="H25" s="9" t="str">
        <f>IF(G25="","",E25*G25)</f>
        <v/>
      </c>
      <c r="I25" s="11" t="str">
        <f>HYPERLINK("https://optomposuda.ru/product/248-konteyner-dlya-chesnoka-l-248","открыть")</f>
        <v>открыть</v>
      </c>
    </row>
    <row r="26" spans="1:9" x14ac:dyDescent="0.25">
      <c r="A26" t="s">
        <v>4760</v>
      </c>
      <c r="B26" t="s">
        <v>4761</v>
      </c>
      <c r="C26" t="s">
        <v>4727</v>
      </c>
      <c r="D26" s="8">
        <v>36</v>
      </c>
      <c r="E26" s="9">
        <v>50.05</v>
      </c>
      <c r="F26" s="8">
        <v>1871</v>
      </c>
      <c r="G26" s="10"/>
      <c r="H26" s="9" t="str">
        <f>IF(G26="","",E26*G26)</f>
        <v/>
      </c>
      <c r="I26" s="11" t="str">
        <f>HYPERLINK("https://optomposuda.ru/product/250-ovoschechistka-l-250","открыть")</f>
        <v>открыть</v>
      </c>
    </row>
    <row r="27" spans="1:9" x14ac:dyDescent="0.25">
      <c r="A27" t="s">
        <v>4762</v>
      </c>
      <c r="B27" t="s">
        <v>4763</v>
      </c>
      <c r="C27" t="s">
        <v>4727</v>
      </c>
      <c r="D27" s="8">
        <v>36</v>
      </c>
      <c r="E27" s="9">
        <v>50.05</v>
      </c>
      <c r="F27" s="8">
        <v>173</v>
      </c>
      <c r="G27" s="10"/>
      <c r="H27" s="9" t="str">
        <f>IF(G27="","",E27*G27)</f>
        <v/>
      </c>
      <c r="I27" s="11" t="str">
        <f>HYPERLINK("https://optomposuda.ru/product/251-ovoschechistka-l-251","открыть")</f>
        <v>открыть</v>
      </c>
    </row>
    <row r="28" spans="1:9" x14ac:dyDescent="0.25">
      <c r="A28" t="s">
        <v>4764</v>
      </c>
      <c r="B28" t="s">
        <v>4765</v>
      </c>
      <c r="C28" t="s">
        <v>4727</v>
      </c>
      <c r="D28" s="8">
        <v>36</v>
      </c>
      <c r="E28" s="9">
        <v>86.97</v>
      </c>
      <c r="F28" s="8">
        <v>34</v>
      </c>
      <c r="G28" s="10"/>
      <c r="H28" s="9" t="str">
        <f>IF(G28="","",E28*G28)</f>
        <v/>
      </c>
      <c r="I28" s="11" t="str">
        <f>HYPERLINK("https://optomposuda.ru/product/253-polovnik-kuhonnyy-l-253","открыть")</f>
        <v>открыть</v>
      </c>
    </row>
    <row r="29" spans="1:9" x14ac:dyDescent="0.25">
      <c r="A29" t="s">
        <v>4766</v>
      </c>
      <c r="B29" t="s">
        <v>4767</v>
      </c>
      <c r="C29" t="s">
        <v>4727</v>
      </c>
      <c r="D29" s="8">
        <v>36</v>
      </c>
      <c r="E29" s="9">
        <v>86.97</v>
      </c>
      <c r="F29" s="8">
        <v>568</v>
      </c>
      <c r="G29" s="10"/>
      <c r="H29" s="9" t="str">
        <f>IF(G29="","",E29*G29)</f>
        <v/>
      </c>
      <c r="I29" s="11" t="str">
        <f>HYPERLINK("https://optomposuda.ru/product/254-lopatka-kuhonnaya-l-254","открыть")</f>
        <v>открыть</v>
      </c>
    </row>
    <row r="30" spans="1:9" x14ac:dyDescent="0.25">
      <c r="A30" t="s">
        <v>4768</v>
      </c>
      <c r="B30" t="s">
        <v>4769</v>
      </c>
      <c r="C30" t="s">
        <v>4727</v>
      </c>
      <c r="D30" s="8">
        <v>36</v>
      </c>
      <c r="E30" s="9">
        <v>86.97</v>
      </c>
      <c r="F30" s="8">
        <v>353</v>
      </c>
      <c r="G30" s="10"/>
      <c r="H30" s="9" t="str">
        <f>IF(G30="","",E30*G30)</f>
        <v/>
      </c>
      <c r="I30" s="11" t="str">
        <f>HYPERLINK("https://optomposuda.ru/product/255-lozhka-kuhonnaya-l-255","открыть")</f>
        <v>открыть</v>
      </c>
    </row>
    <row r="31" spans="1:9" x14ac:dyDescent="0.25">
      <c r="A31" t="s">
        <v>4770</v>
      </c>
      <c r="B31" t="s">
        <v>4771</v>
      </c>
      <c r="C31" t="s">
        <v>4727</v>
      </c>
      <c r="D31" s="8">
        <v>30</v>
      </c>
      <c r="E31" s="9">
        <v>226.42</v>
      </c>
      <c r="F31" s="8">
        <v>630</v>
      </c>
      <c r="G31" s="10"/>
      <c r="H31" s="9" t="str">
        <f>IF(G31="","",E31*G31)</f>
        <v/>
      </c>
      <c r="I31" s="11" t="str">
        <f>HYPERLINK("https://optomposuda.ru/product/265-zakrutka-dlya-golubcov","открыть")</f>
        <v>открыть</v>
      </c>
    </row>
    <row r="32" spans="1:9" x14ac:dyDescent="0.25">
      <c r="A32" t="s">
        <v>4772</v>
      </c>
      <c r="B32" t="s">
        <v>4773</v>
      </c>
      <c r="C32" t="s">
        <v>4727</v>
      </c>
      <c r="D32" s="8">
        <v>36</v>
      </c>
      <c r="E32" s="9">
        <v>53.04</v>
      </c>
      <c r="F32" s="8">
        <v>934</v>
      </c>
      <c r="G32" s="10"/>
      <c r="H32" s="9" t="str">
        <f>IF(G32="","",E32*G32)</f>
        <v/>
      </c>
      <c r="I32" s="11" t="str">
        <f>HYPERLINK("https://optomposuda.ru/product/288-podstavka-pod-orehi-l-288","открыть")</f>
        <v>открыть</v>
      </c>
    </row>
    <row r="33" spans="1:9" x14ac:dyDescent="0.25">
      <c r="A33" t="s">
        <v>4774</v>
      </c>
      <c r="B33" t="s">
        <v>4775</v>
      </c>
      <c r="C33" t="s">
        <v>4727</v>
      </c>
      <c r="D33" s="8">
        <v>36</v>
      </c>
      <c r="E33" s="9">
        <v>63.17</v>
      </c>
      <c r="F33" s="8">
        <v>60</v>
      </c>
      <c r="G33" s="10"/>
      <c r="H33" s="9" t="str">
        <f>IF(G33="","",E33*G33)</f>
        <v/>
      </c>
      <c r="I33" s="11" t="str">
        <f>HYPERLINK("https://optomposuda.ru/product/311-lozhka-dlya-pasty-l-311","открыть")</f>
        <v>открыть</v>
      </c>
    </row>
    <row r="34" spans="1:9" x14ac:dyDescent="0.25">
      <c r="A34" t="s">
        <v>4776</v>
      </c>
      <c r="B34" t="s">
        <v>4777</v>
      </c>
      <c r="C34" t="s">
        <v>4727</v>
      </c>
      <c r="D34" s="8">
        <v>72</v>
      </c>
      <c r="E34" s="9">
        <v>63.17</v>
      </c>
      <c r="F34" s="8">
        <v>157</v>
      </c>
      <c r="G34" s="10"/>
      <c r="H34" s="9" t="str">
        <f>IF(G34="","",E34*G34)</f>
        <v/>
      </c>
      <c r="I34" s="11" t="str">
        <f>HYPERLINK("https://optomposuda.ru/product/313-schipcy-kuhonnye-l-313","открыть")</f>
        <v>открыть</v>
      </c>
    </row>
    <row r="35" spans="1:9" x14ac:dyDescent="0.25">
      <c r="A35" t="s">
        <v>4778</v>
      </c>
      <c r="B35" t="s">
        <v>4779</v>
      </c>
      <c r="C35" t="s">
        <v>4727</v>
      </c>
      <c r="D35" s="8">
        <v>100</v>
      </c>
      <c r="E35" s="9">
        <v>44.72</v>
      </c>
      <c r="F35" s="8">
        <v>1</v>
      </c>
      <c r="G35" s="10"/>
      <c r="H35" s="9" t="str">
        <f>IF(G35="","",E35*G35)</f>
        <v/>
      </c>
      <c r="I35" s="11" t="str">
        <f>HYPERLINK("https://optomposuda.ru/product/314-ovoschechistka-l-314","открыть")</f>
        <v>открыть</v>
      </c>
    </row>
    <row r="36" spans="1:9" x14ac:dyDescent="0.25">
      <c r="A36" t="s">
        <v>4780</v>
      </c>
      <c r="B36" t="s">
        <v>4781</v>
      </c>
      <c r="C36" t="s">
        <v>4727</v>
      </c>
      <c r="D36" s="8">
        <v>24</v>
      </c>
      <c r="E36" s="9">
        <v>68.77</v>
      </c>
      <c r="F36" s="8">
        <v>710</v>
      </c>
      <c r="G36" s="10"/>
      <c r="H36" s="9" t="str">
        <f>IF(G36="","",E36*G36)</f>
        <v/>
      </c>
      <c r="I36" s="11" t="str">
        <f>HYPERLINK("https://optomposuda.ru/product/317-ovoschechistka-l-317","открыть")</f>
        <v>открыть</v>
      </c>
    </row>
    <row r="37" spans="1:9" x14ac:dyDescent="0.25">
      <c r="A37" t="s">
        <v>4782</v>
      </c>
      <c r="B37" t="s">
        <v>4783</v>
      </c>
      <c r="C37" t="s">
        <v>4727</v>
      </c>
      <c r="D37" s="8">
        <v>50</v>
      </c>
      <c r="E37" s="9">
        <v>32.54</v>
      </c>
      <c r="F37" s="8">
        <v>2601</v>
      </c>
      <c r="G37" s="10"/>
      <c r="H37" s="9" t="str">
        <f>IF(G37="","",E37*G37)</f>
        <v/>
      </c>
      <c r="I37" s="11" t="str">
        <f>HYPERLINK("https://optomposuda.ru/product/318-kistochka-konditerskaya-l-318","открыть")</f>
        <v>открыть</v>
      </c>
    </row>
    <row r="38" spans="1:9" x14ac:dyDescent="0.25">
      <c r="A38" t="s">
        <v>4784</v>
      </c>
      <c r="B38" t="s">
        <v>4785</v>
      </c>
      <c r="C38" t="s">
        <v>4727</v>
      </c>
      <c r="D38" s="8">
        <v>48</v>
      </c>
      <c r="E38" s="9">
        <v>109.25</v>
      </c>
      <c r="F38" s="8">
        <v>281</v>
      </c>
      <c r="G38" s="10"/>
      <c r="H38" s="9" t="str">
        <f>IF(G38="","",E38*G38)</f>
        <v/>
      </c>
      <c r="I38" s="11" t="str">
        <f>HYPERLINK("https://optomposuda.ru/product/320-lotok-dlya-stolovyh-priborov-plastik-l-320","открыть")</f>
        <v>открыть</v>
      </c>
    </row>
    <row r="39" spans="1:9" x14ac:dyDescent="0.25">
      <c r="A39" t="s">
        <v>4786</v>
      </c>
      <c r="B39" t="s">
        <v>4787</v>
      </c>
      <c r="C39" t="s">
        <v>4727</v>
      </c>
      <c r="D39" s="8">
        <v>36</v>
      </c>
      <c r="E39" s="9">
        <v>112.4</v>
      </c>
      <c r="F39" s="8">
        <v>1255</v>
      </c>
      <c r="G39" s="10"/>
      <c r="H39" s="9" t="str">
        <f>IF(G39="","",E39*G39)</f>
        <v/>
      </c>
      <c r="I39" s="11" t="str">
        <f>HYPERLINK("https://optomposuda.ru/product/335-trafaret-konditerskiy-0-370-x-0-290-x-0-160-l-335","открыть")</f>
        <v>открыть</v>
      </c>
    </row>
    <row r="40" spans="1:9" x14ac:dyDescent="0.25">
      <c r="A40" t="s">
        <v>4788</v>
      </c>
      <c r="B40" t="s">
        <v>4789</v>
      </c>
      <c r="C40" t="s">
        <v>4727</v>
      </c>
      <c r="D40" s="8">
        <v>50</v>
      </c>
      <c r="E40" s="9">
        <v>46.82</v>
      </c>
      <c r="F40" s="8">
        <v>1855</v>
      </c>
      <c r="G40" s="10"/>
      <c r="H40" s="9" t="str">
        <f>IF(G40="","",E40*G40)</f>
        <v/>
      </c>
      <c r="I40" s="11" t="str">
        <f>HYPERLINK("https://optomposuda.ru/product/364-nabor-zazhimov-dlya-paketa-l-364","открыть")</f>
        <v>открыть</v>
      </c>
    </row>
    <row r="41" spans="1:9" x14ac:dyDescent="0.25">
      <c r="A41" t="s">
        <v>4790</v>
      </c>
      <c r="B41" t="s">
        <v>4791</v>
      </c>
      <c r="C41" t="s">
        <v>4727</v>
      </c>
      <c r="D41" s="8">
        <v>1</v>
      </c>
      <c r="E41" s="9">
        <v>37.63</v>
      </c>
      <c r="F41" s="8">
        <v>1</v>
      </c>
      <c r="G41" s="10"/>
      <c r="H41" s="9" t="str">
        <f>IF(G41="","",E41*G41)</f>
        <v/>
      </c>
      <c r="I41" s="11" t="str">
        <f>HYPERLINK("https://optomposuda.ru/product/365-nozh-plastikovyy-dlya-ovoschey-citrusovyh-l-365","открыть")</f>
        <v>открыть</v>
      </c>
    </row>
    <row r="42" spans="1:9" x14ac:dyDescent="0.25">
      <c r="A42" t="s">
        <v>4792</v>
      </c>
      <c r="B42" t="s">
        <v>4793</v>
      </c>
      <c r="C42" t="s">
        <v>4727</v>
      </c>
      <c r="D42" s="8">
        <v>96</v>
      </c>
      <c r="E42" s="9">
        <v>32.81</v>
      </c>
      <c r="F42" s="8">
        <v>24</v>
      </c>
      <c r="G42" s="10"/>
      <c r="H42" s="9" t="str">
        <f>IF(G42="","",E42*G42)</f>
        <v/>
      </c>
      <c r="I42" s="11" t="str">
        <f>HYPERLINK("https://optomposuda.ru/product/394-konteyner-dlya-chesnoka-l-394","открыть")</f>
        <v>открыть</v>
      </c>
    </row>
    <row r="43" spans="1:9" x14ac:dyDescent="0.25">
      <c r="A43" t="s">
        <v>4794</v>
      </c>
      <c r="B43" t="s">
        <v>4795</v>
      </c>
      <c r="C43" t="s">
        <v>4727</v>
      </c>
      <c r="D43" s="8">
        <v>96</v>
      </c>
      <c r="E43" s="9">
        <v>36.92</v>
      </c>
      <c r="F43" s="8">
        <v>401</v>
      </c>
      <c r="G43" s="10"/>
      <c r="H43" s="9" t="str">
        <f>IF(G43="","",E43*G43)</f>
        <v/>
      </c>
      <c r="I43" s="11" t="str">
        <f>HYPERLINK("https://optomposuda.ru/product/396-konteyner-dlya-pomidora-l-396","открыть")</f>
        <v>открыть</v>
      </c>
    </row>
    <row r="44" spans="1:9" x14ac:dyDescent="0.25">
      <c r="A44" t="s">
        <v>4796</v>
      </c>
      <c r="B44" t="s">
        <v>4797</v>
      </c>
      <c r="C44" t="s">
        <v>4727</v>
      </c>
      <c r="D44" s="8">
        <v>72</v>
      </c>
      <c r="E44" s="9">
        <v>36.92</v>
      </c>
      <c r="F44" s="8">
        <v>61</v>
      </c>
      <c r="G44" s="10"/>
      <c r="H44" s="9" t="str">
        <f>IF(G44="","",E44*G44)</f>
        <v/>
      </c>
      <c r="I44" s="11" t="str">
        <f>HYPERLINK("https://optomposuda.ru/product/397-konteyner-dlya-yabloka-l-397","открыть")</f>
        <v>открыть</v>
      </c>
    </row>
    <row r="45" spans="1:9" x14ac:dyDescent="0.25">
      <c r="A45" t="s">
        <v>4798</v>
      </c>
      <c r="B45" t="s">
        <v>4799</v>
      </c>
      <c r="C45" t="s">
        <v>4727</v>
      </c>
      <c r="D45" s="8">
        <v>60</v>
      </c>
      <c r="E45" s="9">
        <v>125.16</v>
      </c>
      <c r="F45" s="8">
        <v>707</v>
      </c>
      <c r="G45" s="10"/>
      <c r="H45" s="9" t="str">
        <f>IF(G45="","",E45*G45)</f>
        <v/>
      </c>
      <c r="I45" s="11" t="str">
        <f>HYPERLINK("https://optomposuda.ru/product/bg-326-terka-dlya-orehov-i-chesnoka-s-konteynerom-bager","открыть")</f>
        <v>открыть</v>
      </c>
    </row>
    <row r="46" spans="1:9" x14ac:dyDescent="0.25">
      <c r="A46" t="s">
        <v>4800</v>
      </c>
      <c r="B46" t="s">
        <v>4801</v>
      </c>
      <c r="C46" t="s">
        <v>4727</v>
      </c>
      <c r="D46" s="8">
        <v>48</v>
      </c>
      <c r="E46" s="9">
        <v>67.68</v>
      </c>
      <c r="F46" s="8">
        <v>91</v>
      </c>
      <c r="G46" s="10"/>
      <c r="H46" s="9" t="str">
        <f>IF(G46="","",E46*G46)</f>
        <v/>
      </c>
      <c r="I46" s="11" t="str">
        <f>HYPERLINK("https://optomposuda.ru/product/bsf-577-prisposoblenie-dlya-udaleniya-lipestkov-u-klubniki","открыть")</f>
        <v>открыть</v>
      </c>
    </row>
    <row r="47" spans="1:9" x14ac:dyDescent="0.25">
      <c r="A47" s="7" t="s">
        <v>74</v>
      </c>
      <c r="B47" s="7"/>
      <c r="C47" s="7"/>
      <c r="D47" s="7"/>
      <c r="E47" s="7"/>
      <c r="F47" s="7"/>
      <c r="G47" s="7"/>
      <c r="H47" s="7"/>
      <c r="I47" s="7"/>
    </row>
    <row r="48" spans="1:9" x14ac:dyDescent="0.25">
      <c r="A48" t="s">
        <v>4802</v>
      </c>
      <c r="B48" t="s">
        <v>4803</v>
      </c>
      <c r="C48" t="s">
        <v>4727</v>
      </c>
      <c r="D48" s="8">
        <v>24</v>
      </c>
      <c r="E48" s="9">
        <v>162.58</v>
      </c>
      <c r="F48" s="8">
        <v>59</v>
      </c>
      <c r="G48" s="10"/>
      <c r="H48" s="9" t="str">
        <f>IF(G48="","",E48*G48)</f>
        <v/>
      </c>
      <c r="I48" s="11" t="str">
        <f>HYPERLINK("https://optomposuda.ru/product/338-miska-4l-brilliant-l-338","открыть")</f>
        <v>открыть</v>
      </c>
    </row>
    <row r="49" spans="1:9" x14ac:dyDescent="0.25">
      <c r="A49" t="s">
        <v>4804</v>
      </c>
      <c r="B49" t="s">
        <v>4805</v>
      </c>
      <c r="C49" t="s">
        <v>4727</v>
      </c>
      <c r="D49" s="8">
        <v>24</v>
      </c>
      <c r="E49" s="9">
        <v>139.05</v>
      </c>
      <c r="F49" s="8">
        <v>2</v>
      </c>
      <c r="G49" s="10"/>
      <c r="H49" s="9" t="str">
        <f>IF(G49="","",E49*G49)</f>
        <v/>
      </c>
      <c r="I49" s="11" t="str">
        <f>HYPERLINK("https://optomposuda.ru/product/346-miska-salatnik-4-0l-grani-l-346","открыть")</f>
        <v>открыть</v>
      </c>
    </row>
    <row r="50" spans="1:9" x14ac:dyDescent="0.25">
      <c r="A50" t="s">
        <v>4806</v>
      </c>
      <c r="B50" t="s">
        <v>4807</v>
      </c>
      <c r="C50" t="s">
        <v>4727</v>
      </c>
      <c r="D50" s="8">
        <v>100</v>
      </c>
      <c r="E50" s="9">
        <v>33.23</v>
      </c>
      <c r="F50" s="8">
        <v>2</v>
      </c>
      <c r="G50" s="10"/>
      <c r="H50" s="9" t="str">
        <f>IF(G50="","",E50*G50)</f>
        <v/>
      </c>
      <c r="I50" s="11" t="str">
        <f>HYPERLINK("https://optomposuda.ru/product/349-miska-granennaya-0-6l-l-349","открыть")</f>
        <v>открыть</v>
      </c>
    </row>
    <row r="51" spans="1:9" x14ac:dyDescent="0.25">
      <c r="A51" t="s">
        <v>4808</v>
      </c>
      <c r="B51" t="s">
        <v>4809</v>
      </c>
      <c r="C51" t="s">
        <v>4727</v>
      </c>
      <c r="D51" s="8">
        <v>1</v>
      </c>
      <c r="E51" s="9">
        <v>146.43</v>
      </c>
      <c r="F51" s="8">
        <v>60</v>
      </c>
      <c r="G51" s="10"/>
      <c r="H51" s="9" t="str">
        <f>IF(G51="","",E51*G51)</f>
        <v/>
      </c>
      <c r="I51" s="11" t="str">
        <f>HYPERLINK("https://optomposuda.ru/product/366-nabor-solonok-2sht-l-366","открыть")</f>
        <v>открыть</v>
      </c>
    </row>
  </sheetData>
  <autoFilter ref="A7:I7"/>
  <mergeCells count="7">
    <mergeCell ref="A1:I1"/>
    <mergeCell ref="A2:I2"/>
    <mergeCell ref="A3:I3"/>
    <mergeCell ref="A4:I4"/>
    <mergeCell ref="A8:I8"/>
    <mergeCell ref="A11:I11"/>
    <mergeCell ref="A47:I47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4810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SUM(H8:H25)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145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4811</v>
      </c>
      <c r="B9" t="s">
        <v>4812</v>
      </c>
      <c r="C9" t="s">
        <v>4810</v>
      </c>
      <c r="D9" s="8">
        <v>4</v>
      </c>
      <c r="E9" s="9">
        <v>1092.58</v>
      </c>
      <c r="F9" s="8">
        <v>1</v>
      </c>
      <c r="G9" s="10"/>
      <c r="H9" s="9" t="str">
        <f>IF(G9="","",E9*G9)</f>
        <v/>
      </c>
      <c r="I9" s="11" t="str">
        <f>HYPERLINK("https://optomposuda.ru/product/kastryulya-1-5l-sfericheskaya-green-life-1sa165s","открыть")</f>
        <v>открыть</v>
      </c>
    </row>
    <row r="10" spans="1:9" x14ac:dyDescent="0.25">
      <c r="A10" t="s">
        <v>4813</v>
      </c>
      <c r="B10" t="s">
        <v>4814</v>
      </c>
      <c r="C10" t="s">
        <v>4810</v>
      </c>
      <c r="D10" s="8">
        <v>4</v>
      </c>
      <c r="E10" s="9">
        <v>1325.94</v>
      </c>
      <c r="F10" s="8">
        <v>17</v>
      </c>
      <c r="G10" s="10"/>
      <c r="H10" s="9" t="str">
        <f>IF(G10="","",E10*G10)</f>
        <v/>
      </c>
      <c r="I10" s="11" t="str">
        <f>HYPERLINK("https://optomposuda.ru/product/kastryulya-4-0l-sfericheskaya-green-life-belosn-1sc205s","открыть")</f>
        <v>открыть</v>
      </c>
    </row>
    <row r="11" spans="1:9" x14ac:dyDescent="0.25">
      <c r="A11" t="s">
        <v>4815</v>
      </c>
      <c r="B11" t="s">
        <v>4816</v>
      </c>
      <c r="C11" t="s">
        <v>4810</v>
      </c>
      <c r="D11" s="8">
        <v>4</v>
      </c>
      <c r="E11" s="9">
        <v>1624.37</v>
      </c>
      <c r="F11" s="8">
        <v>8</v>
      </c>
      <c r="G11" s="10"/>
      <c r="H11" s="9" t="str">
        <f>IF(G11="","",E11*G11)</f>
        <v/>
      </c>
      <c r="I11" s="11" t="str">
        <f>HYPERLINK("https://optomposuda.ru/product/kastryulya-5-5l-sf-strawberry-belosnezh-1sc225s","открыть")</f>
        <v>открыть</v>
      </c>
    </row>
    <row r="12" spans="1:9" x14ac:dyDescent="0.25">
      <c r="A12" t="s">
        <v>4813</v>
      </c>
      <c r="B12" t="s">
        <v>4817</v>
      </c>
      <c r="C12" t="s">
        <v>4810</v>
      </c>
      <c r="D12" s="8">
        <v>4</v>
      </c>
      <c r="E12" s="9">
        <v>1325.94</v>
      </c>
      <c r="F12" s="8">
        <v>1</v>
      </c>
      <c r="G12" s="10"/>
      <c r="H12" s="9" t="str">
        <f>IF(G12="","",E12*G12)</f>
        <v/>
      </c>
      <c r="I12" s="11" t="str">
        <f>HYPERLINK("https://optomposuda.ru/product/kastryulya-sf-4-0l-fruits","открыть")</f>
        <v>открыть</v>
      </c>
    </row>
    <row r="13" spans="1:9" x14ac:dyDescent="0.25">
      <c r="A13" t="s">
        <v>4813</v>
      </c>
      <c r="B13" t="s">
        <v>4818</v>
      </c>
      <c r="C13" t="s">
        <v>4810</v>
      </c>
      <c r="D13" s="8">
        <v>4</v>
      </c>
      <c r="E13" s="9">
        <v>1325.94</v>
      </c>
      <c r="F13" s="8">
        <v>1</v>
      </c>
      <c r="G13" s="10"/>
      <c r="H13" s="9" t="str">
        <f>IF(G13="","",E13*G13)</f>
        <v/>
      </c>
      <c r="I13" s="11" t="str">
        <f>HYPERLINK("https://optomposuda.ru/product/kastryulya-sf-4-0l-belosnezh-imperio","открыть")</f>
        <v>открыть</v>
      </c>
    </row>
    <row r="14" spans="1:9" x14ac:dyDescent="0.25">
      <c r="A14" t="s">
        <v>4819</v>
      </c>
      <c r="B14" t="s">
        <v>4820</v>
      </c>
      <c r="C14" t="s">
        <v>4810</v>
      </c>
      <c r="D14" s="8">
        <v>4</v>
      </c>
      <c r="E14" s="9">
        <v>1061.81</v>
      </c>
      <c r="F14" s="8">
        <v>9</v>
      </c>
      <c r="G14" s="10"/>
      <c r="H14" s="9" t="str">
        <f>IF(G14="","",E14*G14)</f>
        <v/>
      </c>
      <c r="I14" s="11" t="str">
        <f>HYPERLINK("https://optomposuda.ru/product/kastryulya-cil-1-5l-maki","открыть")</f>
        <v>открыть</v>
      </c>
    </row>
    <row r="15" spans="1:9" x14ac:dyDescent="0.25">
      <c r="A15" t="s">
        <v>4821</v>
      </c>
      <c r="B15" t="s">
        <v>4822</v>
      </c>
      <c r="C15" t="s">
        <v>4810</v>
      </c>
      <c r="D15" s="8">
        <v>4</v>
      </c>
      <c r="E15" s="9">
        <v>1125.88</v>
      </c>
      <c r="F15" s="8">
        <v>16</v>
      </c>
      <c r="G15" s="10"/>
      <c r="H15" s="9" t="str">
        <f>IF(G15="","",E15*G15)</f>
        <v/>
      </c>
      <c r="I15" s="11" t="str">
        <f>HYPERLINK("https://optomposuda.ru/product/kastryulya-cil-2-0l-nerzhaveyuschaya-stalruchki-stekl-kr-indigo","открыть")</f>
        <v>открыть</v>
      </c>
    </row>
    <row r="16" spans="1:9" x14ac:dyDescent="0.25">
      <c r="A16" t="s">
        <v>4823</v>
      </c>
      <c r="B16" t="s">
        <v>4824</v>
      </c>
      <c r="C16" t="s">
        <v>4810</v>
      </c>
      <c r="D16" s="8">
        <v>4</v>
      </c>
      <c r="E16" s="9">
        <v>1125.88</v>
      </c>
      <c r="F16" s="8">
        <v>19</v>
      </c>
      <c r="G16" s="10"/>
      <c r="H16" s="9" t="str">
        <f>IF(G16="","",E16*G16)</f>
        <v/>
      </c>
      <c r="I16" s="11" t="str">
        <f>HYPERLINK("https://optomposuda.ru/product/kastryulya-cil-2l-summer-time-1sd165s","открыть")</f>
        <v>открыть</v>
      </c>
    </row>
    <row r="17" spans="1:9" x14ac:dyDescent="0.25">
      <c r="A17" t="s">
        <v>4825</v>
      </c>
      <c r="B17" t="s">
        <v>4826</v>
      </c>
      <c r="C17" t="s">
        <v>4810</v>
      </c>
      <c r="D17" s="8">
        <v>4</v>
      </c>
      <c r="E17" s="9">
        <v>1192.57</v>
      </c>
      <c r="F17" s="8">
        <v>20</v>
      </c>
      <c r="G17" s="10"/>
      <c r="H17" s="9" t="str">
        <f>IF(G17="","",E17*G17)</f>
        <v/>
      </c>
      <c r="I17" s="11" t="str">
        <f>HYPERLINK("https://optomposuda.ru/product/kastryulya-cil-3l-summer-time-1sb205s","открыть")</f>
        <v>открыть</v>
      </c>
    </row>
    <row r="18" spans="1:9" x14ac:dyDescent="0.25">
      <c r="A18" t="s">
        <v>4827</v>
      </c>
      <c r="B18" t="s">
        <v>4828</v>
      </c>
      <c r="C18" t="s">
        <v>4810</v>
      </c>
      <c r="D18" s="8">
        <v>4</v>
      </c>
      <c r="E18" s="9">
        <v>1287.44</v>
      </c>
      <c r="F18" s="8">
        <v>19</v>
      </c>
      <c r="G18" s="10"/>
      <c r="H18" s="9" t="str">
        <f>IF(G18="","",E18*G18)</f>
        <v/>
      </c>
      <c r="I18" s="11" t="str">
        <f>HYPERLINK("https://optomposuda.ru/product/kastryulya-cil-4l-summer-time-1sd205s","открыть")</f>
        <v>открыть</v>
      </c>
    </row>
    <row r="19" spans="1:9" x14ac:dyDescent="0.25">
      <c r="A19" t="s">
        <v>4829</v>
      </c>
      <c r="B19" t="s">
        <v>4830</v>
      </c>
      <c r="C19" t="s">
        <v>4810</v>
      </c>
      <c r="D19" s="8">
        <v>4</v>
      </c>
      <c r="E19" s="9">
        <v>1574.88</v>
      </c>
      <c r="F19" s="8">
        <v>6</v>
      </c>
      <c r="G19" s="10"/>
      <c r="H19" s="9" t="str">
        <f>IF(G19="","",E19*G19)</f>
        <v/>
      </c>
      <c r="I19" s="11" t="str">
        <f>HYPERLINK("https://optomposuda.ru/product/kastryulya-cil-5-5l-verano-belosn-1sd225s","открыть")</f>
        <v>открыть</v>
      </c>
    </row>
    <row r="20" spans="1:9" x14ac:dyDescent="0.25">
      <c r="A20" t="s">
        <v>4831</v>
      </c>
      <c r="B20" t="s">
        <v>4832</v>
      </c>
      <c r="C20" t="s">
        <v>4810</v>
      </c>
      <c r="D20" s="8">
        <v>4</v>
      </c>
      <c r="E20" s="9">
        <v>1551.6</v>
      </c>
      <c r="F20" s="8">
        <v>14</v>
      </c>
      <c r="G20" s="10"/>
      <c r="H20" s="9" t="str">
        <f>IF(G20="","",E20*G20)</f>
        <v/>
      </c>
      <c r="I20" s="11" t="str">
        <f>HYPERLINK("https://optomposuda.ru/product/kastryulya-elisa-cil-nizk-5l","открыть")</f>
        <v>открыть</v>
      </c>
    </row>
    <row r="21" spans="1:9" x14ac:dyDescent="0.25">
      <c r="A21" t="s">
        <v>4833</v>
      </c>
      <c r="B21" t="s">
        <v>4834</v>
      </c>
      <c r="C21" t="s">
        <v>4810</v>
      </c>
      <c r="D21" s="8">
        <v>4</v>
      </c>
      <c r="E21" s="9">
        <v>1551.6</v>
      </c>
      <c r="F21" s="8">
        <v>1</v>
      </c>
      <c r="G21" s="10"/>
      <c r="H21" s="9" t="str">
        <f>IF(G21="","",E21*G21)</f>
        <v/>
      </c>
      <c r="I21" s="11" t="str">
        <f>HYPERLINK("https://optomposuda.ru/product/kastryulya-todo-nevada-cil-nizk-5l","открыть")</f>
        <v>открыть</v>
      </c>
    </row>
    <row r="22" spans="1:9" x14ac:dyDescent="0.25">
      <c r="A22" t="s">
        <v>4835</v>
      </c>
      <c r="B22" t="s">
        <v>4836</v>
      </c>
      <c r="C22" t="s">
        <v>4810</v>
      </c>
      <c r="D22" s="8">
        <v>5</v>
      </c>
      <c r="E22" s="9">
        <v>930.8</v>
      </c>
      <c r="F22" s="8">
        <v>8</v>
      </c>
      <c r="G22" s="10"/>
      <c r="H22" s="9" t="str">
        <f>IF(G22="","",E22*G22)</f>
        <v/>
      </c>
      <c r="I22" s="11" t="str">
        <f>HYPERLINK("https://optomposuda.ru/product/kovsh-cil-1-5l-summer-time-1sb168","открыть")</f>
        <v>открыть</v>
      </c>
    </row>
    <row r="23" spans="1:9" x14ac:dyDescent="0.25">
      <c r="A23" t="s">
        <v>4837</v>
      </c>
      <c r="B23" t="s">
        <v>4838</v>
      </c>
      <c r="C23" t="s">
        <v>4810</v>
      </c>
      <c r="D23" s="8">
        <v>5</v>
      </c>
      <c r="E23" s="9">
        <v>1111.03</v>
      </c>
      <c r="F23" s="8">
        <v>17</v>
      </c>
      <c r="G23" s="10"/>
      <c r="H23" s="9" t="str">
        <f>IF(G23="","",E23*G23)</f>
        <v/>
      </c>
      <c r="I23" s="11" t="str">
        <f>HYPERLINK("https://optomposuda.ru/product/skovoroda-s-pr-pr-pokr-bez-kryshki-2l-vishn","открыть")</f>
        <v>открыть</v>
      </c>
    </row>
    <row r="24" spans="1:9" x14ac:dyDescent="0.25">
      <c r="A24" t="s">
        <v>4839</v>
      </c>
      <c r="B24" t="s">
        <v>4840</v>
      </c>
      <c r="C24" t="s">
        <v>4810</v>
      </c>
      <c r="D24" s="8">
        <v>4</v>
      </c>
      <c r="E24" s="9">
        <v>1698.04</v>
      </c>
      <c r="F24" s="8">
        <v>9</v>
      </c>
      <c r="G24" s="10"/>
      <c r="H24" s="9" t="str">
        <f>IF(G24="","",E24*G24)</f>
        <v/>
      </c>
      <c r="I24" s="11" t="str">
        <f>HYPERLINK("https://optomposuda.ru/product/chaynik-sf-so-sv-3l-strawberry-belosnezh-1rc12","открыть")</f>
        <v>открыть</v>
      </c>
    </row>
    <row r="25" spans="1:9" x14ac:dyDescent="0.25">
      <c r="A25" t="s">
        <v>4839</v>
      </c>
      <c r="B25" t="s">
        <v>4841</v>
      </c>
      <c r="C25" t="s">
        <v>4810</v>
      </c>
      <c r="D25" s="8">
        <v>4</v>
      </c>
      <c r="E25" s="9">
        <v>1698.04</v>
      </c>
      <c r="F25" s="8">
        <v>5</v>
      </c>
      <c r="G25" s="10"/>
      <c r="H25" s="9" t="str">
        <f>IF(G25="","",E25*G25)</f>
        <v/>
      </c>
      <c r="I25" s="11" t="str">
        <f>HYPERLINK("https://optomposuda.ru/product/chaynik-sf-so-sv-3-0l-belosnezhn-limon","открыть")</f>
        <v>открыть</v>
      </c>
    </row>
  </sheetData>
  <autoFilter ref="A7:I7"/>
  <mergeCells count="5">
    <mergeCell ref="A1:I1"/>
    <mergeCell ref="A2:I2"/>
    <mergeCell ref="A3:I3"/>
    <mergeCell ref="A4:I4"/>
    <mergeCell ref="A8:I8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4842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SUM(H8:H90)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4843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4844</v>
      </c>
      <c r="B9" t="s">
        <v>4845</v>
      </c>
      <c r="C9" t="s">
        <v>4843</v>
      </c>
      <c r="D9" s="8">
        <v>30</v>
      </c>
      <c r="E9" s="9">
        <v>83.84</v>
      </c>
      <c r="F9" s="8">
        <v>7</v>
      </c>
      <c r="G9" s="10"/>
      <c r="H9" s="9" t="str">
        <f>IF(G9="","",E9*G9)</f>
        <v/>
      </c>
      <c r="I9" s="11" t="str">
        <f>HYPERLINK("https://optomposuda.ru/product/salfetnica-babochka-nerzhaveyuschaya-stal-1s2237","открыть")</f>
        <v>открыть</v>
      </c>
    </row>
    <row r="10" spans="1:9" x14ac:dyDescent="0.25">
      <c r="A10" t="s">
        <v>4846</v>
      </c>
      <c r="B10" t="s">
        <v>4847</v>
      </c>
      <c r="C10" t="s">
        <v>4843</v>
      </c>
      <c r="D10" s="8">
        <v>6</v>
      </c>
      <c r="E10" s="9">
        <v>1632</v>
      </c>
      <c r="F10" s="8">
        <v>2</v>
      </c>
      <c r="G10" s="10"/>
      <c r="H10" s="9" t="str">
        <f>IF(G10="","",E10*G10)</f>
        <v/>
      </c>
      <c r="I10" s="11" t="str">
        <f>HYPERLINK("https://optomposuda.ru/product/termos-ekspress-s-shir-gorl-trehsekc-3h0-4-tipa-s","открыть")</f>
        <v>открыть</v>
      </c>
    </row>
    <row r="11" spans="1:9" x14ac:dyDescent="0.25">
      <c r="A11" s="7" t="s">
        <v>4848</v>
      </c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t="s">
        <v>4849</v>
      </c>
      <c r="B12" t="s">
        <v>4850</v>
      </c>
      <c r="C12" t="s">
        <v>4848</v>
      </c>
      <c r="D12" s="8">
        <v>1</v>
      </c>
      <c r="E12" s="9">
        <v>2170.14</v>
      </c>
      <c r="F12" s="8">
        <v>11</v>
      </c>
      <c r="G12" s="10"/>
      <c r="H12" s="9" t="str">
        <f>IF(G12="","",E12*G12)</f>
        <v/>
      </c>
      <c r="I12" s="11" t="str">
        <f>HYPERLINK("https://optomposuda.ru/product/chasha-aziatskaya-6-0-kal-kazan-chugun-al-kryshka","открыть")</f>
        <v>открыть</v>
      </c>
    </row>
    <row r="13" spans="1:9" x14ac:dyDescent="0.25">
      <c r="A13" s="7" t="s">
        <v>4851</v>
      </c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t="s">
        <v>4852</v>
      </c>
      <c r="B14" t="s">
        <v>4853</v>
      </c>
      <c r="C14" t="s">
        <v>4851</v>
      </c>
      <c r="D14" s="8">
        <v>1</v>
      </c>
      <c r="E14" s="9">
        <v>4968.76</v>
      </c>
      <c r="F14" s="8">
        <v>5</v>
      </c>
      <c r="G14" s="10"/>
      <c r="H14" s="9" t="str">
        <f>IF(G14="","",E14*G14)</f>
        <v/>
      </c>
      <c r="I14" s="11" t="str">
        <f>HYPERLINK("https://optomposuda.ru/product/0922-kazan-pohodnyy-chugunnyy-tatarskiy-22l-s-kryshkoy-i-duzhkoy-turizm-d-500","открыть")</f>
        <v>открыть</v>
      </c>
    </row>
    <row r="15" spans="1:9" x14ac:dyDescent="0.25">
      <c r="A15" s="7" t="s">
        <v>4854</v>
      </c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t="s">
        <v>4855</v>
      </c>
      <c r="B16" t="s">
        <v>4856</v>
      </c>
      <c r="C16" t="s">
        <v>4854</v>
      </c>
      <c r="D16" s="8">
        <v>10</v>
      </c>
      <c r="E16" s="9">
        <v>276.5</v>
      </c>
      <c r="F16" s="8">
        <v>22</v>
      </c>
      <c r="G16" s="10"/>
      <c r="H16" s="9" t="str">
        <f>IF(G16="","",E16*G16)</f>
        <v/>
      </c>
      <c r="I16" s="11" t="str">
        <f>HYPERLINK("https://optomposuda.ru/product/kryshka-d-240-mm-s-ruchkoy-vysokaya-n-6sm","открыть")</f>
        <v>открыть</v>
      </c>
    </row>
    <row r="17" spans="1:9" x14ac:dyDescent="0.25">
      <c r="A17" s="7" t="s">
        <v>4857</v>
      </c>
      <c r="B17" s="7"/>
      <c r="C17" s="7"/>
      <c r="D17" s="7"/>
      <c r="E17" s="7"/>
      <c r="F17" s="7"/>
      <c r="G17" s="7"/>
      <c r="H17" s="7"/>
      <c r="I17" s="7"/>
    </row>
    <row r="18" spans="1:9" x14ac:dyDescent="0.25">
      <c r="A18" t="s">
        <v>4858</v>
      </c>
      <c r="B18" t="s">
        <v>4859</v>
      </c>
      <c r="C18" t="s">
        <v>4857</v>
      </c>
      <c r="D18" s="8">
        <v>1</v>
      </c>
      <c r="E18" s="9">
        <v>229.23</v>
      </c>
      <c r="F18" s="8">
        <v>1</v>
      </c>
      <c r="G18" s="10"/>
      <c r="H18" s="9" t="str">
        <f>IF(G18="","",E18*G18)</f>
        <v/>
      </c>
      <c r="I18" s="11" t="str">
        <f>HYPERLINK("https://optomposuda.ru/product/nabor-1-dlya-rezki-ovoschey-oranzh-ndr-6","открыть")</f>
        <v>открыть</v>
      </c>
    </row>
    <row r="19" spans="1:9" x14ac:dyDescent="0.25">
      <c r="A19" s="7" t="s">
        <v>4860</v>
      </c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t="s">
        <v>4861</v>
      </c>
      <c r="B20" t="s">
        <v>4862</v>
      </c>
      <c r="C20" t="s">
        <v>4860</v>
      </c>
      <c r="D20" s="8">
        <v>14</v>
      </c>
      <c r="E20" s="9">
        <v>1180.08</v>
      </c>
      <c r="F20" s="8">
        <v>1</v>
      </c>
      <c r="G20" s="10"/>
      <c r="H20" s="9" t="str">
        <f>IF(G20="","",E20*G20)</f>
        <v/>
      </c>
      <c r="I20" s="11" t="str">
        <f>HYPERLINK("https://optomposuda.ru/product/skovoroda-s-antiprigarnoe-pokrytie-litaya-20-pr-so-sem-ruchka","открыть")</f>
        <v>открыть</v>
      </c>
    </row>
    <row r="21" spans="1:9" x14ac:dyDescent="0.25">
      <c r="A21" s="7" t="s">
        <v>4863</v>
      </c>
      <c r="B21" s="7"/>
      <c r="C21" s="7"/>
      <c r="D21" s="7"/>
      <c r="E21" s="7"/>
      <c r="F21" s="7"/>
      <c r="G21" s="7"/>
      <c r="H21" s="7"/>
      <c r="I21" s="7"/>
    </row>
    <row r="22" spans="1:9" x14ac:dyDescent="0.25">
      <c r="A22" t="s">
        <v>4864</v>
      </c>
      <c r="B22" t="s">
        <v>4865</v>
      </c>
      <c r="C22" t="s">
        <v>4863</v>
      </c>
      <c r="D22" s="8">
        <v>1</v>
      </c>
      <c r="E22" s="9">
        <v>37.67</v>
      </c>
      <c r="F22" s="8">
        <v>5612</v>
      </c>
      <c r="G22" s="10"/>
      <c r="H22" s="9" t="str">
        <f>IF(G22="","",E22*G22)</f>
        <v/>
      </c>
      <c r="I22" s="11" t="str">
        <f>HYPERLINK("https://optomposuda.ru/product/vilka-stolovaya-novinka-m27-upr-obr-bshk-nerzhaveyuschaya-stal-nytva","открыть")</f>
        <v>открыть</v>
      </c>
    </row>
    <row r="23" spans="1:9" x14ac:dyDescent="0.25">
      <c r="A23" t="s">
        <v>4866</v>
      </c>
      <c r="B23" t="s">
        <v>4867</v>
      </c>
      <c r="C23" t="s">
        <v>4863</v>
      </c>
      <c r="D23" s="8">
        <v>1</v>
      </c>
      <c r="E23" s="9">
        <v>69.25</v>
      </c>
      <c r="F23" s="8">
        <v>872</v>
      </c>
      <c r="G23" s="10"/>
      <c r="H23" s="9" t="str">
        <f>IF(G23="","",E23*G23)</f>
        <v/>
      </c>
      <c r="I23" s="11" t="str">
        <f>HYPERLINK("https://optomposuda.ru/product/vilka-stolovaya-uralochka-nerzhaveyuschaya-stal-m13-obych-vid-isp-b-upak-nytva","открыть")</f>
        <v>открыть</v>
      </c>
    </row>
    <row r="24" spans="1:9" x14ac:dyDescent="0.25">
      <c r="A24" t="s">
        <v>4868</v>
      </c>
      <c r="B24" t="s">
        <v>4869</v>
      </c>
      <c r="C24" t="s">
        <v>4863</v>
      </c>
      <c r="D24" s="8">
        <v>1</v>
      </c>
      <c r="E24" s="9">
        <v>37.67</v>
      </c>
      <c r="F24" s="8">
        <v>3547</v>
      </c>
      <c r="G24" s="10"/>
      <c r="H24" s="9" t="str">
        <f>IF(G24="","",E24*G24)</f>
        <v/>
      </c>
      <c r="I24" s="11" t="str">
        <f>HYPERLINK("https://optomposuda.ru/product/lozhka-stolovaya-novinka-m27-upr-obr-bshk-nerzhaveyuschaya-stal-nytva","открыть")</f>
        <v>открыть</v>
      </c>
    </row>
    <row r="25" spans="1:9" x14ac:dyDescent="0.25">
      <c r="A25" t="s">
        <v>4870</v>
      </c>
      <c r="B25" t="s">
        <v>4871</v>
      </c>
      <c r="C25" t="s">
        <v>4863</v>
      </c>
      <c r="D25" s="8">
        <v>1</v>
      </c>
      <c r="E25" s="9">
        <v>46.84</v>
      </c>
      <c r="F25" s="8">
        <v>144</v>
      </c>
      <c r="G25" s="10"/>
      <c r="H25" s="9" t="str">
        <f>IF(G25="","",E25*G25)</f>
        <v/>
      </c>
      <c r="I25" s="11" t="str">
        <f>HYPERLINK("https://optomposuda.ru/product/lozhka-chaynaya-uralochka-nerzhaveyuschaya-stal-m13-obych-vid-isp-b-upak-nytva","открыть")</f>
        <v>открыть</v>
      </c>
    </row>
    <row r="26" spans="1:9" x14ac:dyDescent="0.25">
      <c r="A26" t="s">
        <v>4872</v>
      </c>
      <c r="B26" t="s">
        <v>4873</v>
      </c>
      <c r="C26" t="s">
        <v>4863</v>
      </c>
      <c r="D26" s="8">
        <v>1</v>
      </c>
      <c r="E26" s="9">
        <v>1160.81</v>
      </c>
      <c r="F26" s="8">
        <v>26</v>
      </c>
      <c r="G26" s="10"/>
      <c r="H26" s="9" t="str">
        <f>IF(G26="","",E26*G26)</f>
        <v/>
      </c>
      <c r="I26" s="11" t="str">
        <f>HYPERLINK("https://optomposuda.ru/product/nabor-18-ti-pr-stol-appetit-nerzhaveyuschaya-stal-kk-v-kart-kor-obych-isp-nytva","открыть")</f>
        <v>открыть</v>
      </c>
    </row>
    <row r="27" spans="1:9" x14ac:dyDescent="0.25">
      <c r="A27" t="s">
        <v>4872</v>
      </c>
      <c r="B27" t="s">
        <v>4874</v>
      </c>
      <c r="C27" t="s">
        <v>4863</v>
      </c>
      <c r="D27" s="8">
        <v>1</v>
      </c>
      <c r="E27" s="9">
        <v>1160.81</v>
      </c>
      <c r="F27" s="8">
        <v>73</v>
      </c>
      <c r="G27" s="10"/>
      <c r="H27" s="9" t="str">
        <f>IF(G27="","",E27*G27)</f>
        <v/>
      </c>
      <c r="I27" s="11" t="str">
        <f>HYPERLINK("https://optomposuda.ru/product/nabor-18-ti-pr-stol-uralochka-nerzhaveyuschaya-stal-m13-kk-v-kart-kor-obych-vid-isp-nytva","открыть")</f>
        <v>открыть</v>
      </c>
    </row>
    <row r="28" spans="1:9" x14ac:dyDescent="0.25">
      <c r="A28" s="7" t="s">
        <v>4875</v>
      </c>
      <c r="B28" s="7"/>
      <c r="C28" s="7"/>
      <c r="D28" s="7"/>
      <c r="E28" s="7"/>
      <c r="F28" s="7"/>
      <c r="G28" s="7"/>
      <c r="H28" s="7"/>
      <c r="I28" s="7"/>
    </row>
    <row r="29" spans="1:9" x14ac:dyDescent="0.25">
      <c r="A29" t="s">
        <v>4876</v>
      </c>
      <c r="B29" t="s">
        <v>4877</v>
      </c>
      <c r="C29" t="s">
        <v>4875</v>
      </c>
      <c r="D29" s="8">
        <v>15</v>
      </c>
      <c r="E29" s="9">
        <v>213.21</v>
      </c>
      <c r="F29" s="8">
        <v>142</v>
      </c>
      <c r="G29" s="10"/>
      <c r="H29" s="9" t="str">
        <f>IF(G29="","",E29*G29)</f>
        <v/>
      </c>
      <c r="I29" s="11" t="str">
        <f>HYPERLINK("https://optomposuda.ru/product/6661814-blinnica-180mm-1ruch-bez-kr-vneshnee-pokrytie-piroskan-bordo","открыть")</f>
        <v>открыть</v>
      </c>
    </row>
    <row r="30" spans="1:9" x14ac:dyDescent="0.25">
      <c r="A30" t="s">
        <v>4878</v>
      </c>
      <c r="B30" t="s">
        <v>4879</v>
      </c>
      <c r="C30" t="s">
        <v>4875</v>
      </c>
      <c r="D30" s="8">
        <v>15</v>
      </c>
      <c r="E30" s="9">
        <v>280.91</v>
      </c>
      <c r="F30" s="8">
        <v>42</v>
      </c>
      <c r="G30" s="10"/>
      <c r="H30" s="9" t="str">
        <f>IF(G30="","",E30*G30)</f>
        <v/>
      </c>
      <c r="I30" s="11" t="str">
        <f>HYPERLINK("https://optomposuda.ru/product/durshlag-0-8-l-dekor","открыть")</f>
        <v>открыть</v>
      </c>
    </row>
    <row r="31" spans="1:9" x14ac:dyDescent="0.25">
      <c r="A31" t="s">
        <v>4880</v>
      </c>
      <c r="B31" t="s">
        <v>4881</v>
      </c>
      <c r="C31" t="s">
        <v>4875</v>
      </c>
      <c r="D31" s="8">
        <v>1</v>
      </c>
      <c r="E31" s="9">
        <v>2645.68</v>
      </c>
      <c r="F31" s="8">
        <v>25</v>
      </c>
      <c r="G31" s="10"/>
      <c r="H31" s="9" t="str">
        <f>IF(G31="","",E31*G31)</f>
        <v/>
      </c>
      <c r="I31" s="11" t="str">
        <f>HYPERLINK("https://optomposuda.ru/product/nabor-111-klubnika-sadovaya-taz-12l-kovsh-1l-chaynik-3-5l-vedro-12l","открыть")</f>
        <v>открыть</v>
      </c>
    </row>
    <row r="32" spans="1:9" x14ac:dyDescent="0.25">
      <c r="A32" s="7" t="s">
        <v>4882</v>
      </c>
      <c r="B32" s="7"/>
      <c r="C32" s="7"/>
      <c r="D32" s="7"/>
      <c r="E32" s="7"/>
      <c r="F32" s="7"/>
      <c r="G32" s="7"/>
      <c r="H32" s="7"/>
      <c r="I32" s="7"/>
    </row>
    <row r="33" spans="1:9" x14ac:dyDescent="0.25">
      <c r="A33" t="s">
        <v>4883</v>
      </c>
      <c r="B33" t="s">
        <v>4884</v>
      </c>
      <c r="C33" t="s">
        <v>4882</v>
      </c>
      <c r="D33" s="8">
        <v>60</v>
      </c>
      <c r="E33" s="9">
        <v>135.11</v>
      </c>
      <c r="F33" s="8">
        <v>6337</v>
      </c>
      <c r="G33" s="10"/>
      <c r="H33" s="9" t="str">
        <f>IF(G33="","",E33*G33)</f>
        <v/>
      </c>
      <c r="I33" s="11" t="str">
        <f>HYPERLINK("https://optomposuda.ru/product/kryshka-steklyan-niz-parootvod-14-s-met-obodkom-art-4614n-kc-gtl141-00","открыть")</f>
        <v>открыть</v>
      </c>
    </row>
    <row r="34" spans="1:9" x14ac:dyDescent="0.25">
      <c r="A34" t="s">
        <v>4885</v>
      </c>
      <c r="B34" t="s">
        <v>4886</v>
      </c>
      <c r="C34" t="s">
        <v>4882</v>
      </c>
      <c r="D34" s="8">
        <v>60</v>
      </c>
      <c r="E34" s="9">
        <v>150.37</v>
      </c>
      <c r="F34" s="8">
        <v>9663</v>
      </c>
      <c r="G34" s="10"/>
      <c r="H34" s="9" t="str">
        <f>IF(G34="","",E34*G34)</f>
        <v/>
      </c>
      <c r="I34" s="11" t="str">
        <f>HYPERLINK("https://optomposuda.ru/product/kryshka-steklyan-niz-parootvod-18-s-met-obodkom-art-4618n-ks-gtl181-00","открыть")</f>
        <v>открыть</v>
      </c>
    </row>
    <row r="35" spans="1:9" x14ac:dyDescent="0.25">
      <c r="A35" t="s">
        <v>4887</v>
      </c>
      <c r="B35" t="s">
        <v>4888</v>
      </c>
      <c r="C35" t="s">
        <v>4882</v>
      </c>
      <c r="D35" s="8">
        <v>60</v>
      </c>
      <c r="E35" s="9">
        <v>165.63</v>
      </c>
      <c r="F35" s="8">
        <v>35839</v>
      </c>
      <c r="G35" s="10"/>
      <c r="H35" s="9" t="str">
        <f>IF(G35="","",E35*G35)</f>
        <v/>
      </c>
      <c r="I35" s="11" t="str">
        <f>HYPERLINK("https://optomposuda.ru/product/kryshka-steklyan-niz-parootvod-20-s-met-obodkom-art-4620n-ks-gtl201-00","открыть")</f>
        <v>открыть</v>
      </c>
    </row>
    <row r="36" spans="1:9" x14ac:dyDescent="0.25">
      <c r="A36" t="s">
        <v>4889</v>
      </c>
      <c r="B36" t="s">
        <v>4890</v>
      </c>
      <c r="C36" t="s">
        <v>4882</v>
      </c>
      <c r="D36" s="8">
        <v>30</v>
      </c>
      <c r="E36" s="9">
        <v>188.85</v>
      </c>
      <c r="F36" s="8">
        <v>48701</v>
      </c>
      <c r="G36" s="10"/>
      <c r="H36" s="9" t="str">
        <f>IF(G36="","",E36*G36)</f>
        <v/>
      </c>
      <c r="I36" s="11" t="str">
        <f>HYPERLINK("https://optomposuda.ru/product/kryshka-steklyan-niz-parootvod-24-s-met-obodkom-art-4624n-ks-gtl241-00","открыть")</f>
        <v>открыть</v>
      </c>
    </row>
    <row r="37" spans="1:9" x14ac:dyDescent="0.25">
      <c r="A37" t="s">
        <v>4891</v>
      </c>
      <c r="B37" t="s">
        <v>4892</v>
      </c>
      <c r="C37" t="s">
        <v>4882</v>
      </c>
      <c r="D37" s="8">
        <v>30</v>
      </c>
      <c r="E37" s="9">
        <v>205.12</v>
      </c>
      <c r="F37" s="8">
        <v>47137</v>
      </c>
      <c r="G37" s="10"/>
      <c r="H37" s="9" t="str">
        <f>IF(G37="","",E37*G37)</f>
        <v/>
      </c>
      <c r="I37" s="11" t="str">
        <f>HYPERLINK("https://optomposuda.ru/product/kryshka-steklyan-niz-parootvod-26-s-met-obodkom-art-4626n-ks-gtl261-00","открыть")</f>
        <v>открыть</v>
      </c>
    </row>
    <row r="38" spans="1:9" x14ac:dyDescent="0.25">
      <c r="A38" t="s">
        <v>4893</v>
      </c>
      <c r="B38" t="s">
        <v>4894</v>
      </c>
      <c r="C38" t="s">
        <v>4882</v>
      </c>
      <c r="D38" s="8">
        <v>30</v>
      </c>
      <c r="E38" s="9">
        <v>230.32</v>
      </c>
      <c r="F38" s="8">
        <v>38397</v>
      </c>
      <c r="G38" s="10"/>
      <c r="H38" s="9" t="str">
        <f>IF(G38="","",E38*G38)</f>
        <v/>
      </c>
      <c r="I38" s="11" t="str">
        <f>HYPERLINK("https://optomposuda.ru/product/kryshka-steklyan-niz-parootvod-28-s-met-obodkom-art-4628n-ks-gtl281-00","открыть")</f>
        <v>открыть</v>
      </c>
    </row>
    <row r="39" spans="1:9" x14ac:dyDescent="0.25">
      <c r="A39" t="s">
        <v>4895</v>
      </c>
      <c r="B39" t="s">
        <v>4896</v>
      </c>
      <c r="C39" t="s">
        <v>4882</v>
      </c>
      <c r="D39" s="8">
        <v>30</v>
      </c>
      <c r="E39" s="9">
        <v>275.57</v>
      </c>
      <c r="F39" s="8">
        <v>445</v>
      </c>
      <c r="G39" s="10"/>
      <c r="H39" s="9" t="str">
        <f>IF(G39="","",E39*G39)</f>
        <v/>
      </c>
      <c r="I39" s="11" t="str">
        <f>HYPERLINK("https://optomposuda.ru/product/kryshka-steklyan-niz-parootvod-30-s-met-obodkom-art-4630n-kc-gtl301-00","открыть")</f>
        <v>открыть</v>
      </c>
    </row>
    <row r="40" spans="1:9" x14ac:dyDescent="0.25">
      <c r="A40" t="s">
        <v>4897</v>
      </c>
      <c r="B40" t="s">
        <v>4898</v>
      </c>
      <c r="C40" t="s">
        <v>4882</v>
      </c>
      <c r="D40" s="8">
        <v>8</v>
      </c>
      <c r="E40" s="9">
        <v>275.57</v>
      </c>
      <c r="F40" s="8">
        <v>413</v>
      </c>
      <c r="G40" s="10"/>
      <c r="H40" s="9" t="str">
        <f>IF(G40="","",E40*G40)</f>
        <v/>
      </c>
      <c r="I40" s="11" t="str">
        <f>HYPERLINK("https://optomposuda.ru/product/kryshka-steklyan-niz-parootvod-30-s-shirokim-metal-obod","открыть")</f>
        <v>открыть</v>
      </c>
    </row>
    <row r="41" spans="1:9" x14ac:dyDescent="0.25">
      <c r="A41" t="s">
        <v>4899</v>
      </c>
      <c r="B41" t="s">
        <v>4900</v>
      </c>
      <c r="C41" t="s">
        <v>4882</v>
      </c>
      <c r="D41" s="8">
        <v>30</v>
      </c>
      <c r="E41" s="9">
        <v>308.73</v>
      </c>
      <c r="F41" s="8">
        <v>1079</v>
      </c>
      <c r="G41" s="10"/>
      <c r="H41" s="9" t="str">
        <f>IF(G41="","",E41*G41)</f>
        <v/>
      </c>
      <c r="I41" s="11" t="str">
        <f>HYPERLINK("https://optomposuda.ru/product/kryshka-steklyan-niz-parootvod-32-s-met-obodkom-art-4632n-ks-gtl321-00","открыть")</f>
        <v>открыть</v>
      </c>
    </row>
    <row r="42" spans="1:9" x14ac:dyDescent="0.25">
      <c r="A42" s="7" t="s">
        <v>4901</v>
      </c>
      <c r="B42" s="7"/>
      <c r="C42" s="7"/>
      <c r="D42" s="7"/>
      <c r="E42" s="7"/>
      <c r="F42" s="7"/>
      <c r="G42" s="7"/>
      <c r="H42" s="7"/>
      <c r="I42" s="7"/>
    </row>
    <row r="43" spans="1:9" x14ac:dyDescent="0.25">
      <c r="A43" t="s">
        <v>4902</v>
      </c>
      <c r="B43" t="s">
        <v>4903</v>
      </c>
      <c r="C43" t="s">
        <v>4901</v>
      </c>
      <c r="D43" s="8">
        <v>8</v>
      </c>
      <c r="E43" s="9">
        <v>633.07</v>
      </c>
      <c r="F43" s="8">
        <v>16</v>
      </c>
      <c r="G43" s="10"/>
      <c r="H43" s="9" t="str">
        <f>IF(G43="","",E43*G43)</f>
        <v/>
      </c>
      <c r="I43" s="11" t="str">
        <f>HYPERLINK("https://optomposuda.ru/product/sito-alyumin-220-mm-s-nerzhaveyuschaya-stal-setkoy-ergal","открыть")</f>
        <v>открыть</v>
      </c>
    </row>
    <row r="44" spans="1:9" x14ac:dyDescent="0.25">
      <c r="A44" t="s">
        <v>4904</v>
      </c>
      <c r="B44" t="s">
        <v>4905</v>
      </c>
      <c r="C44" t="s">
        <v>4901</v>
      </c>
      <c r="D44" s="8">
        <v>4</v>
      </c>
      <c r="E44" s="9">
        <v>972.17</v>
      </c>
      <c r="F44" s="8">
        <v>1</v>
      </c>
      <c r="G44" s="10"/>
      <c r="H44" s="9" t="str">
        <f>IF(G44="","",E44*G44)</f>
        <v/>
      </c>
      <c r="I44" s="11" t="str">
        <f>HYPERLINK("https://optomposuda.ru/product/sito-alyumin-300-mm-s-nerzhaveyuschaya-stal-setkoy-ergal","открыть")</f>
        <v>открыть</v>
      </c>
    </row>
    <row r="45" spans="1:9" x14ac:dyDescent="0.25">
      <c r="A45" t="s">
        <v>4906</v>
      </c>
      <c r="B45" t="s">
        <v>4907</v>
      </c>
      <c r="C45" t="s">
        <v>4901</v>
      </c>
      <c r="D45" s="8">
        <v>4</v>
      </c>
      <c r="E45" s="9">
        <v>730.6</v>
      </c>
      <c r="F45" s="8">
        <v>25</v>
      </c>
      <c r="G45" s="10"/>
      <c r="H45" s="9" t="str">
        <f>IF(G45="","",E45*G45)</f>
        <v/>
      </c>
      <c r="I45" s="11" t="str">
        <f>HYPERLINK("https://optomposuda.ru/product/cedilka-alyuminievaya-300-mm-h-120mm-2ruch-na-7l-grohot-ergal","открыть")</f>
        <v>открыть</v>
      </c>
    </row>
    <row r="46" spans="1:9" x14ac:dyDescent="0.25">
      <c r="A46" t="s">
        <v>4908</v>
      </c>
      <c r="B46" t="s">
        <v>4909</v>
      </c>
      <c r="C46" t="s">
        <v>4901</v>
      </c>
      <c r="D46" s="8">
        <v>10</v>
      </c>
      <c r="E46" s="9">
        <v>443.92</v>
      </c>
      <c r="F46" s="8">
        <v>2</v>
      </c>
      <c r="G46" s="10"/>
      <c r="H46" s="9" t="str">
        <f>IF(G46="","",E46*G46)</f>
        <v/>
      </c>
      <c r="I46" s="11" t="str">
        <f>HYPERLINK("https://optomposuda.ru/product/cherpak-kovsh-2-0l-s-kronshteynom-alyuminievyy-2-0-l-ergal","открыть")</f>
        <v>открыть</v>
      </c>
    </row>
    <row r="47" spans="1:9" x14ac:dyDescent="0.25">
      <c r="A47" s="7" t="s">
        <v>4910</v>
      </c>
      <c r="B47" s="7"/>
      <c r="C47" s="7"/>
      <c r="D47" s="7"/>
      <c r="E47" s="7"/>
      <c r="F47" s="7"/>
      <c r="G47" s="7"/>
      <c r="H47" s="7"/>
      <c r="I47" s="7"/>
    </row>
    <row r="48" spans="1:9" x14ac:dyDescent="0.25">
      <c r="A48" t="s">
        <v>4911</v>
      </c>
      <c r="B48" t="s">
        <v>4912</v>
      </c>
      <c r="C48" t="s">
        <v>4910</v>
      </c>
      <c r="D48" s="8">
        <v>60</v>
      </c>
      <c r="E48" s="9">
        <v>100.12</v>
      </c>
      <c r="F48" s="8">
        <v>538</v>
      </c>
      <c r="G48" s="10"/>
      <c r="H48" s="9" t="str">
        <f>IF(G48="","",E48*G48)</f>
        <v/>
      </c>
      <c r="I48" s="11" t="str">
        <f>HYPERLINK("https://optomposuda.ru/product/bg-233-konditerskiy-meshochek-s-nasadkami","открыть")</f>
        <v>открыть</v>
      </c>
    </row>
    <row r="49" spans="1:9" x14ac:dyDescent="0.25">
      <c r="A49" t="s">
        <v>4913</v>
      </c>
      <c r="B49" t="s">
        <v>4914</v>
      </c>
      <c r="C49" t="s">
        <v>4910</v>
      </c>
      <c r="D49" s="8">
        <v>72</v>
      </c>
      <c r="E49" s="9">
        <v>93.46</v>
      </c>
      <c r="F49" s="8">
        <v>1952</v>
      </c>
      <c r="G49" s="10"/>
      <c r="H49" s="9" t="str">
        <f>IF(G49="","",E49*G49)</f>
        <v/>
      </c>
      <c r="I49" s="11" t="str">
        <f>HYPERLINK("https://optomposuda.ru/product/bg-266-schpric-konditerskiy-s-nasadkami-bager","открыть")</f>
        <v>открыть</v>
      </c>
    </row>
    <row r="50" spans="1:9" x14ac:dyDescent="0.25">
      <c r="A50" t="s">
        <v>4915</v>
      </c>
      <c r="B50" t="s">
        <v>4916</v>
      </c>
      <c r="C50" t="s">
        <v>4910</v>
      </c>
      <c r="D50" s="8">
        <v>100</v>
      </c>
      <c r="E50" s="9">
        <v>58.4</v>
      </c>
      <c r="F50" s="8">
        <v>2978</v>
      </c>
      <c r="G50" s="10"/>
      <c r="H50" s="9" t="str">
        <f>IF(G50="","",E50*G50)</f>
        <v/>
      </c>
      <c r="I50" s="11" t="str">
        <f>HYPERLINK("https://optomposuda.ru/product/bg-270-derzhatel-upor-dlya-dveri-bager-2-4-1-5-sm-4pr","открыть")</f>
        <v>открыть</v>
      </c>
    </row>
    <row r="51" spans="1:9" x14ac:dyDescent="0.25">
      <c r="A51" t="s">
        <v>4917</v>
      </c>
      <c r="B51" t="s">
        <v>4918</v>
      </c>
      <c r="C51" t="s">
        <v>4910</v>
      </c>
      <c r="D51" s="8">
        <v>60</v>
      </c>
      <c r="E51" s="9">
        <v>93.46</v>
      </c>
      <c r="F51" s="8">
        <v>419</v>
      </c>
      <c r="G51" s="10"/>
      <c r="H51" s="9" t="str">
        <f>IF(G51="","",E51*G51)</f>
        <v/>
      </c>
      <c r="I51" s="11" t="str">
        <f>HYPERLINK("https://optomposuda.ru/product/bg-324-press-dlya-chesnoka-bager","открыть")</f>
        <v>открыть</v>
      </c>
    </row>
    <row r="52" spans="1:9" x14ac:dyDescent="0.25">
      <c r="A52" t="s">
        <v>4919</v>
      </c>
      <c r="B52" t="s">
        <v>4920</v>
      </c>
      <c r="C52" t="s">
        <v>4910</v>
      </c>
      <c r="D52" s="8">
        <v>12</v>
      </c>
      <c r="E52" s="9">
        <v>295</v>
      </c>
      <c r="F52" s="8">
        <v>3742</v>
      </c>
      <c r="G52" s="10"/>
      <c r="H52" s="9" t="str">
        <f>IF(G52="","",E52*G52)</f>
        <v/>
      </c>
      <c r="I52" s="11" t="str">
        <f>HYPERLINK("https://optomposuda.ru/product/bg-365-sushilka-dlya-zeleni","открыть")</f>
        <v>открыть</v>
      </c>
    </row>
    <row r="53" spans="1:9" x14ac:dyDescent="0.25">
      <c r="A53" s="7" t="s">
        <v>4921</v>
      </c>
      <c r="B53" s="7"/>
      <c r="C53" s="7"/>
      <c r="D53" s="7"/>
      <c r="E53" s="7"/>
      <c r="F53" s="7"/>
      <c r="G53" s="7"/>
      <c r="H53" s="7"/>
      <c r="I53" s="7"/>
    </row>
    <row r="54" spans="1:9" x14ac:dyDescent="0.25">
      <c r="A54" t="s">
        <v>4922</v>
      </c>
      <c r="B54" t="s">
        <v>4923</v>
      </c>
      <c r="C54" t="s">
        <v>4921</v>
      </c>
      <c r="D54" s="8">
        <v>4</v>
      </c>
      <c r="E54" s="9">
        <v>710.97</v>
      </c>
      <c r="F54" s="8">
        <v>87</v>
      </c>
      <c r="G54" s="10"/>
      <c r="H54" s="9" t="str">
        <f>IF(G54="","",E54*G54)</f>
        <v/>
      </c>
      <c r="I54" s="11" t="str">
        <f>HYPERLINK("https://optomposuda.ru/product/kastryulya-2-0-l-premium-gold-premium-zolotoy","открыть")</f>
        <v>открыть</v>
      </c>
    </row>
    <row r="55" spans="1:9" x14ac:dyDescent="0.25">
      <c r="A55" t="s">
        <v>4924</v>
      </c>
      <c r="B55" t="s">
        <v>4925</v>
      </c>
      <c r="C55" t="s">
        <v>4921</v>
      </c>
      <c r="D55" s="8">
        <v>4</v>
      </c>
      <c r="E55" s="9">
        <v>902.34</v>
      </c>
      <c r="F55" s="8">
        <v>119</v>
      </c>
      <c r="G55" s="10"/>
      <c r="H55" s="9" t="str">
        <f>IF(G55="","",E55*G55)</f>
        <v/>
      </c>
      <c r="I55" s="11" t="str">
        <f>HYPERLINK("https://optomposuda.ru/product/kastryulya-4-5-l-premium-gold-premium-zolotoy","открыть")</f>
        <v>открыть</v>
      </c>
    </row>
    <row r="56" spans="1:9" x14ac:dyDescent="0.25">
      <c r="A56" s="7" t="s">
        <v>4926</v>
      </c>
      <c r="B56" s="7"/>
      <c r="C56" s="7"/>
      <c r="D56" s="7"/>
      <c r="E56" s="7"/>
      <c r="F56" s="7"/>
      <c r="G56" s="7"/>
      <c r="H56" s="7"/>
      <c r="I56" s="7"/>
    </row>
    <row r="57" spans="1:9" x14ac:dyDescent="0.25">
      <c r="A57" t="s">
        <v>4927</v>
      </c>
      <c r="B57" t="s">
        <v>4928</v>
      </c>
      <c r="C57" t="s">
        <v>4926</v>
      </c>
      <c r="D57" s="8">
        <v>1</v>
      </c>
      <c r="E57" s="9">
        <v>7403.5</v>
      </c>
      <c r="F57" s="8">
        <v>65</v>
      </c>
      <c r="G57" s="10"/>
      <c r="H57" s="9" t="str">
        <f>IF(G57="","",E57*G57)</f>
        <v/>
      </c>
      <c r="I57" s="11" t="str">
        <f>HYPERLINK("https://optomposuda.ru/product/nabor-nerzhaveyuschaya-stal-posudy-s-antiprigarnoe-pokrytier-7-pr-kast-8h10-2-1l-i-22h12-4","открыть")</f>
        <v>открыть</v>
      </c>
    </row>
    <row r="58" spans="1:9" x14ac:dyDescent="0.25">
      <c r="A58" t="s">
        <v>4929</v>
      </c>
      <c r="B58" t="s">
        <v>4930</v>
      </c>
      <c r="C58" t="s">
        <v>4926</v>
      </c>
      <c r="D58" s="8">
        <v>6</v>
      </c>
      <c r="E58" s="9">
        <v>767.5</v>
      </c>
      <c r="F58" s="8">
        <v>1</v>
      </c>
      <c r="G58" s="10"/>
      <c r="H58" s="9" t="str">
        <f>IF(G58="","",E58*G58)</f>
        <v/>
      </c>
      <c r="I58" s="11" t="str">
        <f>HYPERLINK("https://optomposuda.ru/product/skovoroda-nerzhaveyuschaya-stalf22-s-vnutr-zelenym-keramicheskoe-pokrytie","открыть")</f>
        <v>открыть</v>
      </c>
    </row>
    <row r="59" spans="1:9" x14ac:dyDescent="0.25">
      <c r="A59" t="s">
        <v>4931</v>
      </c>
      <c r="B59" t="s">
        <v>4932</v>
      </c>
      <c r="C59" t="s">
        <v>4926</v>
      </c>
      <c r="D59" s="8">
        <v>36</v>
      </c>
      <c r="E59" s="9">
        <v>68.43</v>
      </c>
      <c r="F59" s="8">
        <v>12</v>
      </c>
      <c r="G59" s="10"/>
      <c r="H59" s="9" t="str">
        <f>IF(G59="","",E59*G59)</f>
        <v/>
      </c>
      <c r="I59" s="11" t="str">
        <f>HYPERLINK("https://optomposuda.ru/product/chasha-kruglaya-s-obodkom-1","открыть")</f>
        <v>открыть</v>
      </c>
    </row>
    <row r="60" spans="1:9" x14ac:dyDescent="0.25">
      <c r="A60" s="7" t="s">
        <v>4933</v>
      </c>
      <c r="B60" s="7"/>
      <c r="C60" s="7"/>
      <c r="D60" s="7"/>
      <c r="E60" s="7"/>
      <c r="F60" s="7"/>
      <c r="G60" s="7"/>
      <c r="H60" s="7"/>
      <c r="I60" s="7"/>
    </row>
    <row r="61" spans="1:9" x14ac:dyDescent="0.25">
      <c r="A61" t="s">
        <v>4934</v>
      </c>
      <c r="B61" t="s">
        <v>4935</v>
      </c>
      <c r="C61" t="s">
        <v>4933</v>
      </c>
      <c r="D61" s="8">
        <v>1</v>
      </c>
      <c r="E61" s="9">
        <v>58.4</v>
      </c>
      <c r="F61" s="8">
        <v>85</v>
      </c>
      <c r="G61" s="10"/>
      <c r="H61" s="9" t="str">
        <f>IF(G61="","",E61*G61)</f>
        <v/>
      </c>
      <c r="I61" s="11" t="str">
        <f>HYPERLINK("https://optomposuda.ru/product/lozhka-dlya-pasty","открыть")</f>
        <v>открыть</v>
      </c>
    </row>
    <row r="62" spans="1:9" x14ac:dyDescent="0.25">
      <c r="A62" t="s">
        <v>4936</v>
      </c>
      <c r="B62" t="s">
        <v>4937</v>
      </c>
      <c r="C62" t="s">
        <v>4933</v>
      </c>
      <c r="D62" s="8">
        <v>1</v>
      </c>
      <c r="E62" s="9">
        <v>58.4</v>
      </c>
      <c r="F62" s="8">
        <v>17</v>
      </c>
      <c r="G62" s="10"/>
      <c r="H62" s="9" t="str">
        <f>IF(G62="","",E62*G62)</f>
        <v/>
      </c>
      <c r="I62" s="11" t="str">
        <f>HYPERLINK("https://optomposuda.ru/product/lozhka-kuhonnaya","открыть")</f>
        <v>открыть</v>
      </c>
    </row>
    <row r="63" spans="1:9" x14ac:dyDescent="0.25">
      <c r="A63" t="s">
        <v>4938</v>
      </c>
      <c r="B63" t="s">
        <v>4939</v>
      </c>
      <c r="C63" t="s">
        <v>4933</v>
      </c>
      <c r="D63" s="8">
        <v>1</v>
      </c>
      <c r="E63" s="9">
        <v>58.4</v>
      </c>
      <c r="F63" s="8">
        <v>24</v>
      </c>
      <c r="G63" s="10"/>
      <c r="H63" s="9" t="str">
        <f>IF(G63="","",E63*G63)</f>
        <v/>
      </c>
      <c r="I63" s="11" t="str">
        <f>HYPERLINK("https://optomposuda.ru/product/lozhka-kuhonnaya-s-otverstiyami","открыть")</f>
        <v>открыть</v>
      </c>
    </row>
    <row r="64" spans="1:9" x14ac:dyDescent="0.25">
      <c r="A64" t="s">
        <v>4940</v>
      </c>
      <c r="B64" t="s">
        <v>4941</v>
      </c>
      <c r="C64" t="s">
        <v>4933</v>
      </c>
      <c r="D64" s="8">
        <v>12</v>
      </c>
      <c r="E64" s="9">
        <v>101.27</v>
      </c>
      <c r="F64" s="8">
        <v>70</v>
      </c>
      <c r="G64" s="10"/>
      <c r="H64" s="9" t="str">
        <f>IF(G64="","",E64*G64)</f>
        <v/>
      </c>
      <c r="I64" s="11" t="str">
        <f>HYPERLINK("https://optomposuda.ru/product/nabor-dlya-speciy-6-pr-cveta-v-assortimente","открыть")</f>
        <v>открыть</v>
      </c>
    </row>
    <row r="65" spans="1:9" x14ac:dyDescent="0.25">
      <c r="A65" t="s">
        <v>4942</v>
      </c>
      <c r="B65" t="s">
        <v>4943</v>
      </c>
      <c r="C65" t="s">
        <v>4933</v>
      </c>
      <c r="D65" s="8">
        <v>108</v>
      </c>
      <c r="E65" s="9">
        <v>30.31</v>
      </c>
      <c r="F65" s="8">
        <v>16</v>
      </c>
      <c r="G65" s="10"/>
      <c r="H65" s="9" t="str">
        <f>IF(G65="","",E65*G65)</f>
        <v/>
      </c>
      <c r="I65" s="11" t="str">
        <f>HYPERLINK("https://optomposuda.ru/product/nozh-dlya-chistki-fruk-i-ovosch-lyuks-vertik-cveta-v-assort","открыть")</f>
        <v>открыть</v>
      </c>
    </row>
    <row r="66" spans="1:9" x14ac:dyDescent="0.25">
      <c r="A66" t="s">
        <v>4944</v>
      </c>
      <c r="B66" t="s">
        <v>4945</v>
      </c>
      <c r="C66" t="s">
        <v>4933</v>
      </c>
      <c r="D66" s="8">
        <v>1</v>
      </c>
      <c r="E66" s="9">
        <v>76.88</v>
      </c>
      <c r="F66" s="8">
        <v>52</v>
      </c>
      <c r="G66" s="10"/>
      <c r="H66" s="9" t="str">
        <f>IF(G66="","",E66*G66)</f>
        <v/>
      </c>
      <c r="I66" s="11" t="str">
        <f>HYPERLINK("https://optomposuda.ru/product/press-dlya-chesnoka-sante-cveta-v-assort-24-144","открыть")</f>
        <v>открыть</v>
      </c>
    </row>
    <row r="67" spans="1:9" x14ac:dyDescent="0.25">
      <c r="A67" t="s">
        <v>4946</v>
      </c>
      <c r="B67" t="s">
        <v>4947</v>
      </c>
      <c r="C67" t="s">
        <v>4933</v>
      </c>
      <c r="D67" s="8">
        <v>64</v>
      </c>
      <c r="E67" s="9">
        <v>85.75</v>
      </c>
      <c r="F67" s="8">
        <v>129</v>
      </c>
      <c r="G67" s="10"/>
      <c r="H67" s="9" t="str">
        <f>IF(G67="","",E67*G67)</f>
        <v/>
      </c>
      <c r="I67" s="11" t="str">
        <f>HYPERLINK("https://optomposuda.ru/product/terka-zhulen-cveta-v-assortimente","открыть")</f>
        <v>открыть</v>
      </c>
    </row>
    <row r="68" spans="1:9" x14ac:dyDescent="0.25">
      <c r="A68" t="s">
        <v>4948</v>
      </c>
      <c r="B68" t="s">
        <v>4949</v>
      </c>
      <c r="C68" t="s">
        <v>4933</v>
      </c>
      <c r="D68" s="8">
        <v>4</v>
      </c>
      <c r="E68" s="9">
        <v>613.98</v>
      </c>
      <c r="F68" s="8">
        <v>46</v>
      </c>
      <c r="G68" s="10"/>
      <c r="H68" s="9" t="str">
        <f>IF(G68="","",E68*G68)</f>
        <v/>
      </c>
      <c r="I68" s="11" t="str">
        <f>HYPERLINK("https://optomposuda.ru/product/hlebnica-385h275h195","открыть")</f>
        <v>открыть</v>
      </c>
    </row>
    <row r="69" spans="1:9" x14ac:dyDescent="0.25">
      <c r="A69" s="7" t="s">
        <v>4950</v>
      </c>
      <c r="B69" s="7"/>
      <c r="C69" s="7"/>
      <c r="D69" s="7"/>
      <c r="E69" s="7"/>
      <c r="F69" s="7"/>
      <c r="G69" s="7"/>
      <c r="H69" s="7"/>
      <c r="I69" s="7"/>
    </row>
    <row r="70" spans="1:9" x14ac:dyDescent="0.25">
      <c r="A70" t="s">
        <v>4951</v>
      </c>
      <c r="B70" t="s">
        <v>4952</v>
      </c>
      <c r="C70" t="s">
        <v>4950</v>
      </c>
      <c r="D70" s="8">
        <v>4</v>
      </c>
      <c r="E70" s="9">
        <v>254.17</v>
      </c>
      <c r="F70" s="8">
        <v>33</v>
      </c>
      <c r="G70" s="10"/>
      <c r="H70" s="9" t="str">
        <f>IF(G70="","",E70*G70)</f>
        <v/>
      </c>
      <c r="I70" s="11" t="str">
        <f>HYPERLINK("https://optomposuda.ru/product/vedro-dlya-musora-s-pedalyu-tyulpany-5-25-l","открыть")</f>
        <v>открыть</v>
      </c>
    </row>
    <row r="71" spans="1:9" x14ac:dyDescent="0.25">
      <c r="A71" t="s">
        <v>4953</v>
      </c>
      <c r="B71" t="s">
        <v>4954</v>
      </c>
      <c r="C71" t="s">
        <v>4950</v>
      </c>
      <c r="D71" s="8">
        <v>48</v>
      </c>
      <c r="E71" s="9">
        <v>84.46</v>
      </c>
      <c r="F71" s="8">
        <v>69</v>
      </c>
      <c r="G71" s="10"/>
      <c r="H71" s="9" t="str">
        <f>IF(G71="","",E71*G71)</f>
        <v/>
      </c>
      <c r="I71" s="11" t="str">
        <f>HYPERLINK("https://optomposuda.ru/product/kryshka-prozrachnaya-universalnaya-w-34-x-l-46-cm","открыть")</f>
        <v>открыть</v>
      </c>
    </row>
    <row r="72" spans="1:9" x14ac:dyDescent="0.25">
      <c r="A72" t="s">
        <v>4955</v>
      </c>
      <c r="B72" t="s">
        <v>4956</v>
      </c>
      <c r="C72" t="s">
        <v>4950</v>
      </c>
      <c r="D72" s="8">
        <v>50</v>
      </c>
      <c r="E72" s="9">
        <v>95.72</v>
      </c>
      <c r="F72" s="8">
        <v>1</v>
      </c>
      <c r="G72" s="10"/>
      <c r="H72" s="9" t="str">
        <f>IF(G72="","",E72*G72)</f>
        <v/>
      </c>
      <c r="I72" s="11" t="str">
        <f>HYPERLINK("https://optomposuda.ru/product/kuvshin-2l-dekorir-delfin","открыть")</f>
        <v>открыть</v>
      </c>
    </row>
    <row r="73" spans="1:9" x14ac:dyDescent="0.25">
      <c r="A73" t="s">
        <v>4955</v>
      </c>
      <c r="B73" t="s">
        <v>4957</v>
      </c>
      <c r="C73" t="s">
        <v>4950</v>
      </c>
      <c r="D73" s="8">
        <v>50</v>
      </c>
      <c r="E73" s="9">
        <v>95.72</v>
      </c>
      <c r="F73" s="8">
        <v>79</v>
      </c>
      <c r="G73" s="10"/>
      <c r="H73" s="9" t="str">
        <f>IF(G73="","",E73*G73)</f>
        <v/>
      </c>
      <c r="I73" s="11" t="str">
        <f>HYPERLINK("https://optomposuda.ru/product/kuvshin-2l-dekorir-derevo-plastik","открыть")</f>
        <v>открыть</v>
      </c>
    </row>
    <row r="74" spans="1:9" x14ac:dyDescent="0.25">
      <c r="A74" t="s">
        <v>4958</v>
      </c>
      <c r="B74" t="s">
        <v>4959</v>
      </c>
      <c r="C74" t="s">
        <v>4950</v>
      </c>
      <c r="D74" s="8">
        <v>50</v>
      </c>
      <c r="E74" s="9">
        <v>95.51</v>
      </c>
      <c r="F74" s="8">
        <v>51</v>
      </c>
      <c r="G74" s="10"/>
      <c r="H74" s="9" t="str">
        <f>IF(G74="","",E74*G74)</f>
        <v/>
      </c>
      <c r="I74" s="11" t="str">
        <f>HYPERLINK("https://optomposuda.ru/product/kuvshin-ovalnyy-2l-dekorir-delfin","открыть")</f>
        <v>открыть</v>
      </c>
    </row>
    <row r="75" spans="1:9" x14ac:dyDescent="0.25">
      <c r="A75" t="s">
        <v>4960</v>
      </c>
      <c r="B75" t="s">
        <v>4961</v>
      </c>
      <c r="C75" t="s">
        <v>4950</v>
      </c>
      <c r="D75" s="8">
        <v>60</v>
      </c>
      <c r="E75" s="9">
        <v>32.52</v>
      </c>
      <c r="F75" s="8">
        <v>7</v>
      </c>
      <c r="G75" s="10"/>
      <c r="H75" s="9" t="str">
        <f>IF(G75="","",E75*G75)</f>
        <v/>
      </c>
      <c r="I75" s="11" t="str">
        <f>HYPERLINK("https://optomposuda.ru/product/stekloochistitel-sgon-bolshoy-23h33sm-cveta-v-assortimente","открыть")</f>
        <v>открыть</v>
      </c>
    </row>
    <row r="76" spans="1:9" x14ac:dyDescent="0.25">
      <c r="A76" s="7" t="s">
        <v>4962</v>
      </c>
      <c r="B76" s="7"/>
      <c r="C76" s="7"/>
      <c r="D76" s="7"/>
      <c r="E76" s="7"/>
      <c r="F76" s="7"/>
      <c r="G76" s="7"/>
      <c r="H76" s="7"/>
      <c r="I76" s="7"/>
    </row>
    <row r="77" spans="1:9" x14ac:dyDescent="0.25">
      <c r="A77" t="s">
        <v>4963</v>
      </c>
      <c r="B77" t="s">
        <v>4964</v>
      </c>
      <c r="C77" t="s">
        <v>4962</v>
      </c>
      <c r="D77" s="8">
        <v>24</v>
      </c>
      <c r="E77" s="9">
        <v>63</v>
      </c>
      <c r="F77" s="8">
        <v>1</v>
      </c>
      <c r="G77" s="10"/>
      <c r="H77" s="9" t="str">
        <f>IF(G77="","",E77*G77)</f>
        <v/>
      </c>
      <c r="I77" s="11" t="str">
        <f>HYPERLINK("https://optomposuda.ru/product/banka-dlya-sypuchih-720-ml-shirokaya-s-lozhkoy","открыть")</f>
        <v>открыть</v>
      </c>
    </row>
    <row r="78" spans="1:9" x14ac:dyDescent="0.25">
      <c r="A78" t="s">
        <v>4965</v>
      </c>
      <c r="B78" t="s">
        <v>4966</v>
      </c>
      <c r="C78" t="s">
        <v>4962</v>
      </c>
      <c r="D78" s="8">
        <v>12</v>
      </c>
      <c r="E78" s="9">
        <v>248.3</v>
      </c>
      <c r="F78" s="8">
        <v>2</v>
      </c>
      <c r="G78" s="10"/>
      <c r="H78" s="9" t="str">
        <f>IF(G78="","",E78*G78)</f>
        <v/>
      </c>
      <c r="I78" s="11" t="str">
        <f>HYPERLINK("https://optomposuda.ru/product/nabor-dlya-speciy-s-dvumya-emkostyami-dlya-zhidkosti-4-pr","открыть")</f>
        <v>открыть</v>
      </c>
    </row>
    <row r="79" spans="1:9" x14ac:dyDescent="0.25">
      <c r="A79" s="7" t="s">
        <v>4967</v>
      </c>
      <c r="B79" s="7"/>
      <c r="C79" s="7"/>
      <c r="D79" s="7"/>
      <c r="E79" s="7"/>
      <c r="F79" s="7"/>
      <c r="G79" s="7"/>
      <c r="H79" s="7"/>
      <c r="I79" s="7"/>
    </row>
    <row r="80" spans="1:9" x14ac:dyDescent="0.25">
      <c r="A80" t="s">
        <v>4968</v>
      </c>
      <c r="B80" t="s">
        <v>4969</v>
      </c>
      <c r="C80" t="s">
        <v>4967</v>
      </c>
      <c r="D80" s="8">
        <v>1</v>
      </c>
      <c r="E80" s="9">
        <v>110</v>
      </c>
      <c r="F80" s="8">
        <v>6</v>
      </c>
      <c r="G80" s="10"/>
      <c r="H80" s="9" t="str">
        <f>IF(G80="","",E80*G80)</f>
        <v/>
      </c>
      <c r="I80" s="11" t="str">
        <f>HYPERLINK("https://optomposuda.ru/product/chehol-dlya-glad-doski-antiprigarnyy-bez-porolona-teflon-1290h480-cha2","открыть")</f>
        <v>открыть</v>
      </c>
    </row>
    <row r="81" spans="1:9" x14ac:dyDescent="0.25">
      <c r="A81" s="7" t="s">
        <v>4970</v>
      </c>
      <c r="B81" s="7"/>
      <c r="C81" s="7"/>
      <c r="D81" s="7"/>
      <c r="E81" s="7"/>
      <c r="F81" s="7"/>
      <c r="G81" s="7"/>
      <c r="H81" s="7"/>
      <c r="I81" s="7"/>
    </row>
    <row r="82" spans="1:9" x14ac:dyDescent="0.25">
      <c r="A82" t="s">
        <v>4971</v>
      </c>
      <c r="B82" t="s">
        <v>4972</v>
      </c>
      <c r="C82" t="s">
        <v>4970</v>
      </c>
      <c r="D82" s="8">
        <v>36</v>
      </c>
      <c r="E82" s="9">
        <v>108.54</v>
      </c>
      <c r="F82" s="8">
        <v>47</v>
      </c>
      <c r="G82" s="10"/>
      <c r="H82" s="9" t="str">
        <f>IF(G82="","",E82*G82)</f>
        <v/>
      </c>
      <c r="I82" s="11" t="str">
        <f>HYPERLINK("https://optomposuda.ru/product/059-chasha-dlya-fruktov-d-23h33h11sm-v-podarochnaya-upakovka","открыть")</f>
        <v>открыть</v>
      </c>
    </row>
    <row r="83" spans="1:9" x14ac:dyDescent="0.25">
      <c r="A83" t="s">
        <v>4973</v>
      </c>
      <c r="B83" t="s">
        <v>4974</v>
      </c>
      <c r="C83" t="s">
        <v>4970</v>
      </c>
      <c r="D83" s="8">
        <v>60</v>
      </c>
      <c r="E83" s="9">
        <v>79.83</v>
      </c>
      <c r="F83" s="8">
        <v>9</v>
      </c>
      <c r="G83" s="10"/>
      <c r="H83" s="9" t="str">
        <f>IF(G83="","",E83*G83)</f>
        <v/>
      </c>
      <c r="I83" s="11" t="str">
        <f>HYPERLINK("https://optomposuda.ru/product/06103-konteyner-dlya-hraneniya-kruglyy-0-7l-malyy","открыть")</f>
        <v>открыть</v>
      </c>
    </row>
    <row r="84" spans="1:9" x14ac:dyDescent="0.25">
      <c r="A84" t="s">
        <v>4975</v>
      </c>
      <c r="B84" t="s">
        <v>4976</v>
      </c>
      <c r="C84" t="s">
        <v>4970</v>
      </c>
      <c r="D84" s="8">
        <v>6</v>
      </c>
      <c r="E84" s="9">
        <v>1038.8</v>
      </c>
      <c r="F84" s="8">
        <v>6</v>
      </c>
      <c r="G84" s="10"/>
      <c r="H84" s="9" t="str">
        <f>IF(G84="","",E84*G84)</f>
        <v/>
      </c>
      <c r="I84" s="11" t="str">
        <f>HYPERLINK("https://optomposuda.ru/product/067-etazherka-4h-yarusnaya-34h42h68sm","открыть")</f>
        <v>открыть</v>
      </c>
    </row>
    <row r="85" spans="1:9" x14ac:dyDescent="0.25">
      <c r="A85" s="7" t="s">
        <v>4977</v>
      </c>
      <c r="B85" s="7"/>
      <c r="C85" s="7"/>
      <c r="D85" s="7"/>
      <c r="E85" s="7"/>
      <c r="F85" s="7"/>
      <c r="G85" s="7"/>
      <c r="H85" s="7"/>
      <c r="I85" s="7"/>
    </row>
    <row r="86" spans="1:9" x14ac:dyDescent="0.25">
      <c r="A86" t="s">
        <v>4978</v>
      </c>
      <c r="B86" t="s">
        <v>4979</v>
      </c>
      <c r="C86" t="s">
        <v>4977</v>
      </c>
      <c r="D86" s="8">
        <v>1</v>
      </c>
      <c r="E86" s="9">
        <v>421.19</v>
      </c>
      <c r="F86" s="8">
        <v>2</v>
      </c>
      <c r="G86" s="10"/>
      <c r="H86" s="9" t="str">
        <f>IF(G86="","",E86*G86)</f>
        <v/>
      </c>
      <c r="I86" s="11" t="str">
        <f>HYPERLINK("https://optomposuda.ru/product/termos-detskiy-s-uzkim-gorlom-0-23-l-so-steklyannoy-kolboy-v-korobke-pee-023","открыть")</f>
        <v>открыть</v>
      </c>
    </row>
    <row r="87" spans="1:9" x14ac:dyDescent="0.25">
      <c r="A87" s="7" t="s">
        <v>4980</v>
      </c>
      <c r="B87" s="7"/>
      <c r="C87" s="7"/>
      <c r="D87" s="7"/>
      <c r="E87" s="7"/>
      <c r="F87" s="7"/>
      <c r="G87" s="7"/>
      <c r="H87" s="7"/>
      <c r="I87" s="7"/>
    </row>
    <row r="88" spans="1:9" x14ac:dyDescent="0.25">
      <c r="A88" t="s">
        <v>4981</v>
      </c>
      <c r="B88" t="s">
        <v>4982</v>
      </c>
      <c r="C88" t="s">
        <v>4980</v>
      </c>
      <c r="D88" s="8">
        <v>4</v>
      </c>
      <c r="E88" s="9">
        <v>2649.29</v>
      </c>
      <c r="F88" s="8">
        <v>2</v>
      </c>
      <c r="G88" s="10"/>
      <c r="H88" s="9" t="str">
        <f>IF(G88="","",E88*G88)</f>
        <v/>
      </c>
      <c r="I88" s="11" t="str">
        <f>HYPERLINK("https://optomposuda.ru/product/sushilka-dlya-belya-herkyul-alyuminiy-dlina-16-m","открыть")</f>
        <v>открыть</v>
      </c>
    </row>
    <row r="89" spans="1:9" x14ac:dyDescent="0.25">
      <c r="A89" s="7" t="s">
        <v>4983</v>
      </c>
      <c r="B89" s="7"/>
      <c r="C89" s="7"/>
      <c r="D89" s="7"/>
      <c r="E89" s="7"/>
      <c r="F89" s="7"/>
      <c r="G89" s="7"/>
      <c r="H89" s="7"/>
      <c r="I89" s="7"/>
    </row>
    <row r="90" spans="1:9" x14ac:dyDescent="0.25">
      <c r="A90" t="s">
        <v>4984</v>
      </c>
      <c r="B90" t="s">
        <v>4985</v>
      </c>
      <c r="C90" t="s">
        <v>4983</v>
      </c>
      <c r="D90" s="8">
        <v>60</v>
      </c>
      <c r="E90" s="9">
        <v>26.61</v>
      </c>
      <c r="F90" s="8">
        <v>3</v>
      </c>
      <c r="G90" s="10"/>
      <c r="H90" s="9" t="str">
        <f>IF(G90="","",E90*G90)</f>
        <v/>
      </c>
      <c r="I90" s="11" t="str">
        <f>HYPERLINK("https://optomposuda.ru/product/stekloochistitel-sgon-malenkiy-21h24sm-cveta-v-assortimente","открыть")</f>
        <v>открыть</v>
      </c>
    </row>
  </sheetData>
  <autoFilter ref="A7:I7"/>
  <mergeCells count="25">
    <mergeCell ref="A1:I1"/>
    <mergeCell ref="A2:I2"/>
    <mergeCell ref="A3:I3"/>
    <mergeCell ref="A4:I4"/>
    <mergeCell ref="A8:I8"/>
    <mergeCell ref="A11:I11"/>
    <mergeCell ref="A13:I13"/>
    <mergeCell ref="A15:I15"/>
    <mergeCell ref="A17:I17"/>
    <mergeCell ref="A19:I19"/>
    <mergeCell ref="A21:I21"/>
    <mergeCell ref="A28:I28"/>
    <mergeCell ref="A32:I32"/>
    <mergeCell ref="A42:I42"/>
    <mergeCell ref="A47:I47"/>
    <mergeCell ref="A53:I53"/>
    <mergeCell ref="A56:I56"/>
    <mergeCell ref="A60:I60"/>
    <mergeCell ref="A69:I69"/>
    <mergeCell ref="A76:I76"/>
    <mergeCell ref="A79:I79"/>
    <mergeCell ref="A81:I81"/>
    <mergeCell ref="A85:I85"/>
    <mergeCell ref="A87:I87"/>
    <mergeCell ref="A89:I89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62" customWidth="1"/>
    <col min="3" max="3" width="18" customWidth="1"/>
    <col min="4" max="4" width="13" customWidth="1"/>
    <col min="5" max="5" width="12" customWidth="1"/>
    <col min="6" max="6" width="10" customWidth="1"/>
    <col min="7" max="7" width="12" customWidth="1"/>
    <col min="8" max="8" width="14" customWidth="1"/>
    <col min="9" max="9" width="12" customWidth="1"/>
  </cols>
  <sheetData>
    <row r="1" spans="1:9" x14ac:dyDescent="0.25">
      <c r="A1" s="1" t="s">
        <v>4986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  <c r="B2"/>
      <c r="C2"/>
      <c r="D2"/>
      <c r="E2"/>
      <c r="F2"/>
      <c r="G2"/>
      <c r="H2"/>
      <c r="I2"/>
    </row>
    <row r="3" spans="1:9" x14ac:dyDescent="0.25">
      <c r="A3" t="s">
        <v>2</v>
      </c>
      <c r="B3"/>
      <c r="C3"/>
      <c r="D3"/>
      <c r="E3"/>
      <c r="F3"/>
      <c r="G3"/>
      <c r="H3"/>
      <c r="I3"/>
    </row>
    <row r="4" spans="1:9" x14ac:dyDescent="0.2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7:8" x14ac:dyDescent="0.25">
      <c r="G5" s="3" t="s">
        <v>4</v>
      </c>
      <c r="H5" s="4">
        <f>SUM(H8:H117)</f>
        <v>0</v>
      </c>
    </row>
    <row r="7" spans="1:9" s="5" customFormat="1" x14ac:dyDescent="0.25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</row>
    <row r="8" spans="1:9" x14ac:dyDescent="0.25">
      <c r="A8" s="7" t="s">
        <v>21</v>
      </c>
      <c r="B8" s="7"/>
      <c r="C8" s="7"/>
      <c r="D8" s="7"/>
      <c r="E8" s="7"/>
      <c r="F8" s="7"/>
      <c r="G8" s="7"/>
      <c r="H8" s="7"/>
      <c r="I8" s="7"/>
    </row>
    <row r="9" spans="1:9" x14ac:dyDescent="0.25">
      <c r="A9" t="s">
        <v>4987</v>
      </c>
      <c r="B9" t="s">
        <v>4988</v>
      </c>
      <c r="C9" t="s">
        <v>4989</v>
      </c>
      <c r="D9" s="8">
        <v>28</v>
      </c>
      <c r="E9" s="9">
        <v>391.9</v>
      </c>
      <c r="F9" s="8">
        <v>1686</v>
      </c>
      <c r="G9" s="10"/>
      <c r="H9" s="9" t="str">
        <f>IF(G9="","",E9*G9)</f>
        <v/>
      </c>
      <c r="I9" s="11" t="str">
        <f>HYPERLINK("https://optomposuda.ru/product/adapter-dlya-indukc-plity-12sm-tolschina-3-4-mm-2-sloya-iz-nerzhaveyuschaya-stalst-18-0-al","открыть")</f>
        <v>открыть</v>
      </c>
    </row>
    <row r="10" spans="1:9" x14ac:dyDescent="0.25">
      <c r="A10" t="s">
        <v>4990</v>
      </c>
      <c r="B10" t="s">
        <v>4991</v>
      </c>
      <c r="C10" t="s">
        <v>4989</v>
      </c>
      <c r="D10" s="8">
        <v>30</v>
      </c>
      <c r="E10" s="9">
        <v>451.07</v>
      </c>
      <c r="F10" s="8">
        <v>1066</v>
      </c>
      <c r="G10" s="10"/>
      <c r="H10" s="9" t="str">
        <f>IF(G10="","",E10*G10)</f>
        <v/>
      </c>
      <c r="I10" s="11" t="str">
        <f>HYPERLINK("https://optomposuda.ru/product/adapter-dlya-indukc-plity-14sm-tolschina-3-4-mm-2-sloya-iz-nerzhaveyuschaya-stalst-18-0-al","открыть")</f>
        <v>открыть</v>
      </c>
    </row>
    <row r="11" spans="1:9" x14ac:dyDescent="0.25">
      <c r="A11" t="s">
        <v>4992</v>
      </c>
      <c r="B11" t="s">
        <v>4993</v>
      </c>
      <c r="C11" t="s">
        <v>4989</v>
      </c>
      <c r="D11" s="8">
        <v>24</v>
      </c>
      <c r="E11" s="9">
        <v>644.75</v>
      </c>
      <c r="F11" s="8">
        <v>1078</v>
      </c>
      <c r="G11" s="10"/>
      <c r="H11" s="9" t="str">
        <f>IF(G11="","",E11*G11)</f>
        <v/>
      </c>
      <c r="I11" s="11" t="str">
        <f>HYPERLINK("https://optomposuda.ru/product/adapter-dlya-indukc-plity-20sm-tolschina-3-4-mm-2-sloya-iz-nerzhaveyuschaya-stalst-18-0-al","открыть")</f>
        <v>открыть</v>
      </c>
    </row>
    <row r="12" spans="1:9" x14ac:dyDescent="0.25">
      <c r="A12" t="s">
        <v>4994</v>
      </c>
      <c r="B12" t="s">
        <v>4995</v>
      </c>
      <c r="C12" t="s">
        <v>4989</v>
      </c>
      <c r="D12" s="8">
        <v>18</v>
      </c>
      <c r="E12" s="9">
        <v>781.28</v>
      </c>
      <c r="F12" s="8">
        <v>810</v>
      </c>
      <c r="G12" s="10"/>
      <c r="H12" s="9" t="str">
        <f>IF(G12="","",E12*G12)</f>
        <v/>
      </c>
      <c r="I12" s="11" t="str">
        <f>HYPERLINK("https://optomposuda.ru/product/adapter-dlya-indukc-plity-24sm-tolschina-3-4-mm-2-sloya-iz-nerzhaveyuschaya-stalst-18-0-al","открыть")</f>
        <v>открыть</v>
      </c>
    </row>
    <row r="13" spans="1:9" x14ac:dyDescent="0.25">
      <c r="A13" t="s">
        <v>4996</v>
      </c>
      <c r="B13" t="s">
        <v>4997</v>
      </c>
      <c r="C13" t="s">
        <v>4989</v>
      </c>
      <c r="D13" s="8">
        <v>80</v>
      </c>
      <c r="E13" s="9">
        <v>399.49</v>
      </c>
      <c r="F13" s="8">
        <v>1539</v>
      </c>
      <c r="G13" s="10"/>
      <c r="H13" s="9" t="str">
        <f>IF(G13="","",E13*G13)</f>
        <v/>
      </c>
      <c r="I13" s="11" t="str">
        <f>HYPERLINK("https://optomposuda.ru/product/adapter-dlya-indukc-plity-semnaya-ruchka-12sm-tolschina-3-4-mm-2-sloya-iz-nerzhaveyuschaya","открыть")</f>
        <v>открыть</v>
      </c>
    </row>
    <row r="14" spans="1:9" x14ac:dyDescent="0.25">
      <c r="A14" t="s">
        <v>4998</v>
      </c>
      <c r="B14" t="s">
        <v>4999</v>
      </c>
      <c r="C14" t="s">
        <v>4989</v>
      </c>
      <c r="D14" s="8">
        <v>40</v>
      </c>
      <c r="E14" s="9">
        <v>471.8</v>
      </c>
      <c r="F14" s="8">
        <v>1004</v>
      </c>
      <c r="G14" s="10"/>
      <c r="H14" s="9" t="str">
        <f>IF(G14="","",E14*G14)</f>
        <v/>
      </c>
      <c r="I14" s="11" t="str">
        <f>HYPERLINK("https://optomposuda.ru/product/adapter-dlya-indukc-plity-semnaya-ruchka-14sm-tolschina-3-4-mm-2-sloya-iz-nerzhaveyuschaya","открыть")</f>
        <v>открыть</v>
      </c>
    </row>
    <row r="15" spans="1:9" x14ac:dyDescent="0.25">
      <c r="A15" t="s">
        <v>5000</v>
      </c>
      <c r="B15" t="s">
        <v>5001</v>
      </c>
      <c r="C15" t="s">
        <v>4989</v>
      </c>
      <c r="D15" s="8">
        <v>20</v>
      </c>
      <c r="E15" s="9">
        <v>671.55</v>
      </c>
      <c r="F15" s="8">
        <v>1816</v>
      </c>
      <c r="G15" s="10"/>
      <c r="H15" s="9" t="str">
        <f>IF(G15="","",E15*G15)</f>
        <v/>
      </c>
      <c r="I15" s="11" t="str">
        <f>HYPERLINK("https://optomposuda.ru/product/adapter-dlya-indukc-plity-semnaya-ruchka-20sm-tolschina-3-4-mm-2-sloya-iz-nerzhaveyuschaya","открыть")</f>
        <v>открыть</v>
      </c>
    </row>
    <row r="16" spans="1:9" x14ac:dyDescent="0.25">
      <c r="A16" t="s">
        <v>5002</v>
      </c>
      <c r="B16" t="s">
        <v>5003</v>
      </c>
      <c r="C16" t="s">
        <v>4989</v>
      </c>
      <c r="D16" s="8">
        <v>16</v>
      </c>
      <c r="E16" s="9">
        <v>773.44</v>
      </c>
      <c r="F16" s="8">
        <v>1098</v>
      </c>
      <c r="G16" s="10"/>
      <c r="H16" s="9" t="str">
        <f>IF(G16="","",E16*G16)</f>
        <v/>
      </c>
      <c r="I16" s="11" t="str">
        <f>HYPERLINK("https://optomposuda.ru/product/adapter-dlya-indukc-plity-semnaya-ruchka-24sm-tolschina-3-4-mm-2-sloya-iz-nerzhaveyuschaya","открыть")</f>
        <v>открыть</v>
      </c>
    </row>
    <row r="17" spans="1:9" x14ac:dyDescent="0.25">
      <c r="A17" t="s">
        <v>5004</v>
      </c>
      <c r="B17" t="s">
        <v>5005</v>
      </c>
      <c r="C17" t="s">
        <v>4989</v>
      </c>
      <c r="D17" s="8">
        <v>72</v>
      </c>
      <c r="E17" s="9">
        <v>82.62</v>
      </c>
      <c r="F17" s="8">
        <v>231</v>
      </c>
      <c r="G17" s="10"/>
      <c r="H17" s="9" t="str">
        <f>IF(G17="","",E17*G17)</f>
        <v/>
      </c>
      <c r="I17" s="11" t="str">
        <f>HYPERLINK("https://optomposuda.ru/product/konteyner-grand-pryamougolnyy-1-5-l","открыть")</f>
        <v>открыть</v>
      </c>
    </row>
    <row r="18" spans="1:9" x14ac:dyDescent="0.25">
      <c r="A18" t="s">
        <v>5006</v>
      </c>
      <c r="B18" t="s">
        <v>5007</v>
      </c>
      <c r="C18" t="s">
        <v>4989</v>
      </c>
      <c r="D18" s="8">
        <v>10</v>
      </c>
      <c r="E18" s="9">
        <v>957</v>
      </c>
      <c r="F18" s="8">
        <v>18</v>
      </c>
      <c r="G18" s="10"/>
      <c r="H18" s="9" t="str">
        <f>IF(G18="","",E18*G18)</f>
        <v/>
      </c>
      <c r="I18" s="11" t="str">
        <f>HYPERLINK("https://optomposuda.ru/product/myasorubka-alyuminievaya-poltava-ma-s-gost4025-83-v-podaroch-upak","открыть")</f>
        <v>открыть</v>
      </c>
    </row>
    <row r="19" spans="1:9" x14ac:dyDescent="0.25">
      <c r="A19" t="s">
        <v>5008</v>
      </c>
      <c r="B19" t="s">
        <v>5009</v>
      </c>
      <c r="C19" t="s">
        <v>4989</v>
      </c>
      <c r="D19" s="8">
        <v>16</v>
      </c>
      <c r="E19" s="9">
        <v>127.74</v>
      </c>
      <c r="F19" s="8">
        <v>372</v>
      </c>
      <c r="G19" s="10"/>
      <c r="H19" s="9" t="str">
        <f>IF(G19="","",E19*G19)</f>
        <v/>
      </c>
      <c r="I19" s="11" t="str">
        <f>HYPERLINK("https://optomposuda.ru/product/chasha-dlya-hraneniya-s-kryshkoy-elena-200-ml-10h10h4-5","открыть")</f>
        <v>открыть</v>
      </c>
    </row>
    <row r="20" spans="1:9" x14ac:dyDescent="0.25">
      <c r="A20" s="7" t="s">
        <v>30</v>
      </c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t="s">
        <v>5010</v>
      </c>
      <c r="B21" t="s">
        <v>5011</v>
      </c>
      <c r="C21" t="s">
        <v>4989</v>
      </c>
      <c r="D21" s="8">
        <v>1</v>
      </c>
      <c r="E21" s="9">
        <v>2308.08</v>
      </c>
      <c r="F21" s="8">
        <v>12</v>
      </c>
      <c r="G21" s="10"/>
      <c r="H21" s="9" t="str">
        <f>IF(G21="","",E21*G21)</f>
        <v/>
      </c>
      <c r="I21" s="11" t="str">
        <f>HYPERLINK("https://optomposuda.ru/product/komod-6-s-risunkom-korziny","открыть")</f>
        <v>открыть</v>
      </c>
    </row>
    <row r="22" spans="1:9" x14ac:dyDescent="0.25">
      <c r="A22" s="7" t="s">
        <v>354</v>
      </c>
      <c r="B22" s="7"/>
      <c r="C22" s="7"/>
      <c r="D22" s="7"/>
      <c r="E22" s="7"/>
      <c r="F22" s="7"/>
      <c r="G22" s="7"/>
      <c r="H22" s="7"/>
      <c r="I22" s="7"/>
    </row>
    <row r="23" spans="1:9" x14ac:dyDescent="0.25">
      <c r="A23" t="s">
        <v>5012</v>
      </c>
      <c r="B23" t="s">
        <v>5013</v>
      </c>
      <c r="C23" t="s">
        <v>4989</v>
      </c>
      <c r="D23" s="8">
        <v>1</v>
      </c>
      <c r="E23" s="9">
        <v>1547</v>
      </c>
      <c r="F23" s="8">
        <v>39</v>
      </c>
      <c r="G23" s="10"/>
      <c r="H23" s="9" t="str">
        <f>IF(G23="","",E23*G23)</f>
        <v/>
      </c>
      <c r="I23" s="11" t="str">
        <f>HYPERLINK("https://optomposuda.ru/product/nabor-stakanov-lady-diamond-270ml-6sht","открыть")</f>
        <v>открыть</v>
      </c>
    </row>
    <row r="24" spans="1:9" x14ac:dyDescent="0.25">
      <c r="A24" t="s">
        <v>5014</v>
      </c>
      <c r="B24" t="s">
        <v>5015</v>
      </c>
      <c r="C24" t="s">
        <v>4989</v>
      </c>
      <c r="D24" s="8">
        <v>1</v>
      </c>
      <c r="E24" s="9">
        <v>1996</v>
      </c>
      <c r="F24" s="8">
        <v>552</v>
      </c>
      <c r="G24" s="10"/>
      <c r="H24" s="9" t="str">
        <f>IF(G24="","",E24*G24)</f>
        <v/>
      </c>
      <c r="I24" s="11" t="str">
        <f>HYPERLINK("https://optomposuda.ru/product/nabor-fuzherov-lady-diamond-270ml-6sht","открыть")</f>
        <v>открыть</v>
      </c>
    </row>
    <row r="25" spans="1:9" x14ac:dyDescent="0.25">
      <c r="A25" s="7" t="s">
        <v>145</v>
      </c>
      <c r="B25" s="7"/>
      <c r="C25" s="7"/>
      <c r="D25" s="7"/>
      <c r="E25" s="7"/>
      <c r="F25" s="7"/>
      <c r="G25" s="7"/>
      <c r="H25" s="7"/>
      <c r="I25" s="7"/>
    </row>
    <row r="26" spans="1:9" x14ac:dyDescent="0.25">
      <c r="A26" t="s">
        <v>5016</v>
      </c>
      <c r="B26" t="s">
        <v>5017</v>
      </c>
      <c r="C26" t="s">
        <v>4989</v>
      </c>
      <c r="D26" s="8">
        <v>60</v>
      </c>
      <c r="E26" s="9">
        <v>141.65</v>
      </c>
      <c r="F26" s="8">
        <v>7887</v>
      </c>
      <c r="G26" s="10"/>
      <c r="H26" s="9" t="str">
        <f>IF(G26="","",E26*G26)</f>
        <v/>
      </c>
      <c r="I26" s="11" t="str">
        <f>HYPERLINK("https://optomposuda.ru/product/kryshka-steklyan-niz-parootvod-16-s-met-obodkom-art-4616n-ks-gtl161-00","открыть")</f>
        <v>открыть</v>
      </c>
    </row>
    <row r="27" spans="1:9" x14ac:dyDescent="0.25">
      <c r="A27" t="s">
        <v>5018</v>
      </c>
      <c r="B27" t="s">
        <v>5019</v>
      </c>
      <c r="C27" t="s">
        <v>4989</v>
      </c>
      <c r="D27" s="8">
        <v>60</v>
      </c>
      <c r="E27" s="9">
        <v>184.22</v>
      </c>
      <c r="F27" s="8">
        <v>33560</v>
      </c>
      <c r="G27" s="10"/>
      <c r="H27" s="9" t="str">
        <f>IF(G27="","",E27*G27)</f>
        <v/>
      </c>
      <c r="I27" s="11" t="str">
        <f>HYPERLINK("https://optomposuda.ru/product/kryshka-steklyan-niz-parootvod-22-s-met-obodkom-art-4622n-ks-gtl221-00","открыть")</f>
        <v>открыть</v>
      </c>
    </row>
    <row r="28" spans="1:9" x14ac:dyDescent="0.25">
      <c r="A28" t="s">
        <v>5020</v>
      </c>
      <c r="B28" t="s">
        <v>5021</v>
      </c>
      <c r="C28" t="s">
        <v>4989</v>
      </c>
      <c r="D28" s="8">
        <v>4</v>
      </c>
      <c r="E28" s="9">
        <v>909.17</v>
      </c>
      <c r="F28" s="8">
        <v>374</v>
      </c>
      <c r="G28" s="10"/>
      <c r="H28" s="9" t="str">
        <f>IF(G28="","",E28*G28)</f>
        <v/>
      </c>
      <c r="I28" s="11" t="str">
        <f>HYPERLINK("https://optomposuda.ru/product/skovoroda-glubokaya-22sm-indukciya-prostaya-ruchka-chern-s-softach","открыть")</f>
        <v>открыть</v>
      </c>
    </row>
    <row r="29" spans="1:9" x14ac:dyDescent="0.25">
      <c r="A29" t="s">
        <v>5022</v>
      </c>
      <c r="B29" t="s">
        <v>5023</v>
      </c>
      <c r="C29" t="s">
        <v>4989</v>
      </c>
      <c r="D29" s="8">
        <v>4</v>
      </c>
      <c r="E29" s="9">
        <v>975.87</v>
      </c>
      <c r="F29" s="8">
        <v>152</v>
      </c>
      <c r="G29" s="10"/>
      <c r="H29" s="9" t="str">
        <f>IF(G29="","",E29*G29)</f>
        <v/>
      </c>
      <c r="I29" s="11" t="str">
        <f>HYPERLINK("https://optomposuda.ru/product/skovoroda-glubokaya-22sm-indukciya-semnaya-ruchka-chern-s-softach","открыть")</f>
        <v>открыть</v>
      </c>
    </row>
    <row r="30" spans="1:9" x14ac:dyDescent="0.25">
      <c r="A30" t="s">
        <v>5024</v>
      </c>
      <c r="B30" t="s">
        <v>5025</v>
      </c>
      <c r="C30" t="s">
        <v>4989</v>
      </c>
      <c r="D30" s="8">
        <v>4</v>
      </c>
      <c r="E30" s="9">
        <v>952.73</v>
      </c>
      <c r="F30" s="8">
        <v>374</v>
      </c>
      <c r="G30" s="10"/>
      <c r="H30" s="9" t="str">
        <f>IF(G30="","",E30*G30)</f>
        <v/>
      </c>
      <c r="I30" s="11" t="str">
        <f>HYPERLINK("https://optomposuda.ru/product/skovoroda-glubokaya-24sm-indukciya-prostaya-ruchka-chern-s-softach","открыть")</f>
        <v>открыть</v>
      </c>
    </row>
    <row r="31" spans="1:9" x14ac:dyDescent="0.25">
      <c r="A31" t="s">
        <v>5026</v>
      </c>
      <c r="B31" t="s">
        <v>5027</v>
      </c>
      <c r="C31" t="s">
        <v>4989</v>
      </c>
      <c r="D31" s="8">
        <v>4</v>
      </c>
      <c r="E31" s="9">
        <v>1020.78</v>
      </c>
      <c r="F31" s="8">
        <v>221</v>
      </c>
      <c r="G31" s="10"/>
      <c r="H31" s="9" t="str">
        <f>IF(G31="","",E31*G31)</f>
        <v/>
      </c>
      <c r="I31" s="11" t="str">
        <f>HYPERLINK("https://optomposuda.ru/product/skovoroda-glubokaya-24sm-indukciya-semnaya-ruchka-chern-s-softach","открыть")</f>
        <v>открыть</v>
      </c>
    </row>
    <row r="32" spans="1:9" x14ac:dyDescent="0.25">
      <c r="A32" t="s">
        <v>5028</v>
      </c>
      <c r="B32" t="s">
        <v>5029</v>
      </c>
      <c r="C32" t="s">
        <v>4989</v>
      </c>
      <c r="D32" s="8">
        <v>4</v>
      </c>
      <c r="E32" s="9">
        <v>1038.47</v>
      </c>
      <c r="F32" s="8">
        <v>375</v>
      </c>
      <c r="G32" s="10"/>
      <c r="H32" s="9" t="str">
        <f>IF(G32="","",E32*G32)</f>
        <v/>
      </c>
      <c r="I32" s="11" t="str">
        <f>HYPERLINK("https://optomposuda.ru/product/skovoroda-glubokaya-26sm-indukciya-prostaya-ruchka-chern-s-softach","открыть")</f>
        <v>открыть</v>
      </c>
    </row>
    <row r="33" spans="1:9" x14ac:dyDescent="0.25">
      <c r="A33" t="s">
        <v>5030</v>
      </c>
      <c r="B33" t="s">
        <v>5031</v>
      </c>
      <c r="C33" t="s">
        <v>4989</v>
      </c>
      <c r="D33" s="8">
        <v>4</v>
      </c>
      <c r="E33" s="9">
        <v>1106.53</v>
      </c>
      <c r="F33" s="8">
        <v>272</v>
      </c>
      <c r="G33" s="10"/>
      <c r="H33" s="9" t="str">
        <f>IF(G33="","",E33*G33)</f>
        <v/>
      </c>
      <c r="I33" s="11" t="str">
        <f>HYPERLINK("https://optomposuda.ru/product/skovoroda-glubokaya-26sm-indukciya-semnaya-ruchka-chern-s-softach","открыть")</f>
        <v>открыть</v>
      </c>
    </row>
    <row r="34" spans="1:9" x14ac:dyDescent="0.25">
      <c r="A34" t="s">
        <v>5032</v>
      </c>
      <c r="B34" t="s">
        <v>5033</v>
      </c>
      <c r="C34" t="s">
        <v>4989</v>
      </c>
      <c r="D34" s="8">
        <v>4</v>
      </c>
      <c r="E34" s="9">
        <v>1079.3</v>
      </c>
      <c r="F34" s="8">
        <v>403</v>
      </c>
      <c r="G34" s="10"/>
      <c r="H34" s="9" t="str">
        <f>IF(G34="","",E34*G34)</f>
        <v/>
      </c>
      <c r="I34" s="11" t="str">
        <f>HYPERLINK("https://optomposuda.ru/product/skovoroda-glubokaya-28sm-indukciya-prostaya-ruchka-chern-s-softach","открыть")</f>
        <v>открыть</v>
      </c>
    </row>
    <row r="35" spans="1:9" x14ac:dyDescent="0.25">
      <c r="A35" t="s">
        <v>5034</v>
      </c>
      <c r="B35" t="s">
        <v>5035</v>
      </c>
      <c r="C35" t="s">
        <v>4989</v>
      </c>
      <c r="D35" s="8">
        <v>4</v>
      </c>
      <c r="E35" s="9">
        <v>1147.36</v>
      </c>
      <c r="F35" s="8">
        <v>201</v>
      </c>
      <c r="G35" s="10"/>
      <c r="H35" s="9" t="str">
        <f>IF(G35="","",E35*G35)</f>
        <v/>
      </c>
      <c r="I35" s="11" t="str">
        <f>HYPERLINK("https://optomposuda.ru/product/skovoroda-glubokaya-28sm-indukciya-semnaya-ruchka-chern-s-softach","открыть")</f>
        <v>открыть</v>
      </c>
    </row>
    <row r="36" spans="1:9" x14ac:dyDescent="0.25">
      <c r="A36" t="s">
        <v>5036</v>
      </c>
      <c r="B36" t="s">
        <v>5037</v>
      </c>
      <c r="C36" t="s">
        <v>4989</v>
      </c>
      <c r="D36" s="8">
        <v>1</v>
      </c>
      <c r="E36" s="9">
        <v>1687</v>
      </c>
      <c r="F36" s="8">
        <v>111</v>
      </c>
      <c r="G36" s="10"/>
      <c r="H36" s="9" t="str">
        <f>IF(G36="","",E36*G36)</f>
        <v/>
      </c>
      <c r="I36" s="11" t="str">
        <f>HYPERLINK("https://optomposuda.ru/product/skovoroda-d-280sm-alyumin-antipriganoe-pokr-indukciya-km30128","открыть")</f>
        <v>открыть</v>
      </c>
    </row>
    <row r="37" spans="1:9" x14ac:dyDescent="0.25">
      <c r="A37" s="7" t="s">
        <v>649</v>
      </c>
      <c r="B37" s="7"/>
      <c r="C37" s="7"/>
      <c r="D37" s="7"/>
      <c r="E37" s="7"/>
      <c r="F37" s="7"/>
      <c r="G37" s="7"/>
      <c r="H37" s="7"/>
      <c r="I37" s="7"/>
    </row>
    <row r="38" spans="1:9" x14ac:dyDescent="0.25">
      <c r="A38" t="s">
        <v>5038</v>
      </c>
      <c r="B38" t="s">
        <v>5039</v>
      </c>
      <c r="C38" t="s">
        <v>4989</v>
      </c>
      <c r="D38" s="8">
        <v>1</v>
      </c>
      <c r="E38" s="9">
        <v>244.78</v>
      </c>
      <c r="F38" s="8">
        <v>108</v>
      </c>
      <c r="G38" s="10"/>
      <c r="H38" s="9" t="str">
        <f>IF(G38="","",E38*G38)</f>
        <v/>
      </c>
      <c r="I38" s="11" t="str">
        <f>HYPERLINK("https://optomposuda.ru/product/svecha-dekorativnaya-parafinovaya-cvet-belyy-kruglaya-razmer-d-7-5sm-art-36-0616-07","открыть")</f>
        <v>открыть</v>
      </c>
    </row>
    <row r="39" spans="1:9" x14ac:dyDescent="0.25">
      <c r="A39" t="s">
        <v>5040</v>
      </c>
      <c r="B39" t="s">
        <v>5041</v>
      </c>
      <c r="C39" t="s">
        <v>4989</v>
      </c>
      <c r="D39" s="8">
        <v>1</v>
      </c>
      <c r="E39" s="9">
        <v>439.75</v>
      </c>
      <c r="F39" s="8">
        <v>1</v>
      </c>
      <c r="G39" s="10"/>
      <c r="H39" s="9" t="str">
        <f>IF(G39="","",E39*G39)</f>
        <v/>
      </c>
      <c r="I39" s="11" t="str">
        <f>HYPERLINK("https://optomposuda.ru/product/svecha-dekorativnaya-parafinovaya-cvet-belyy-razmer-7-5x15-sm-art-64-0203-09","открыть")</f>
        <v>открыть</v>
      </c>
    </row>
    <row r="40" spans="1:9" x14ac:dyDescent="0.25">
      <c r="A40" t="s">
        <v>5042</v>
      </c>
      <c r="B40" t="s">
        <v>5043</v>
      </c>
      <c r="C40" t="s">
        <v>4989</v>
      </c>
      <c r="D40" s="8">
        <v>1</v>
      </c>
      <c r="E40" s="9">
        <v>526.76</v>
      </c>
      <c r="F40" s="8">
        <v>101</v>
      </c>
      <c r="G40" s="10"/>
      <c r="H40" s="9" t="str">
        <f>IF(G40="","",E40*G40)</f>
        <v/>
      </c>
      <c r="I40" s="11" t="str">
        <f>HYPERLINK("https://optomposuda.ru/product/svecha-dekorativnaya-parafinovaya-cvet-belyy-razmer-7-5x20-sm-art-64-0214-08","открыть")</f>
        <v>открыть</v>
      </c>
    </row>
    <row r="41" spans="1:9" x14ac:dyDescent="0.25">
      <c r="A41" t="s">
        <v>5044</v>
      </c>
      <c r="B41" t="s">
        <v>5045</v>
      </c>
      <c r="C41" t="s">
        <v>4989</v>
      </c>
      <c r="D41" s="8">
        <v>1</v>
      </c>
      <c r="E41" s="9">
        <v>244.78</v>
      </c>
      <c r="F41" s="8">
        <v>11</v>
      </c>
      <c r="G41" s="10"/>
      <c r="H41" s="9" t="str">
        <f>IF(G41="","",E41*G41)</f>
        <v/>
      </c>
      <c r="I41" s="11" t="str">
        <f>HYPERLINK("https://optomposuda.ru/product/svecha-dekorativnaya-parafinovaya-cvet-biryuzovyy-kruglaya-razmer-d-7-5sm-art-36-0616-01","открыть")</f>
        <v>открыть</v>
      </c>
    </row>
    <row r="42" spans="1:9" x14ac:dyDescent="0.25">
      <c r="A42" t="s">
        <v>5046</v>
      </c>
      <c r="B42" t="s">
        <v>5047</v>
      </c>
      <c r="C42" t="s">
        <v>4989</v>
      </c>
      <c r="D42" s="8">
        <v>1</v>
      </c>
      <c r="E42" s="9">
        <v>329.29</v>
      </c>
      <c r="F42" s="8">
        <v>45</v>
      </c>
      <c r="G42" s="10"/>
      <c r="H42" s="9" t="str">
        <f>IF(G42="","",E42*G42)</f>
        <v/>
      </c>
      <c r="I42" s="11" t="str">
        <f>HYPERLINK("https://optomposuda.ru/product/svecha-dekorativnaya-parafinovaya-cvet-biryuzovyy-razmer-7-5x10-sm-art-64-0202-01","открыть")</f>
        <v>открыть</v>
      </c>
    </row>
    <row r="43" spans="1:9" x14ac:dyDescent="0.25">
      <c r="A43" t="s">
        <v>5048</v>
      </c>
      <c r="B43" t="s">
        <v>5049</v>
      </c>
      <c r="C43" t="s">
        <v>4989</v>
      </c>
      <c r="D43" s="8">
        <v>1</v>
      </c>
      <c r="E43" s="9">
        <v>439.75</v>
      </c>
      <c r="F43" s="8">
        <v>34</v>
      </c>
      <c r="G43" s="10"/>
      <c r="H43" s="9" t="str">
        <f>IF(G43="","",E43*G43)</f>
        <v/>
      </c>
      <c r="I43" s="11" t="str">
        <f>HYPERLINK("https://optomposuda.ru/product/svecha-dekorativnaya-parafinovaya-cvet-biryuzovyy-razmer-7-5x15-sm-art-64-0203-07","открыть")</f>
        <v>открыть</v>
      </c>
    </row>
    <row r="44" spans="1:9" x14ac:dyDescent="0.25">
      <c r="A44" t="s">
        <v>5050</v>
      </c>
      <c r="B44" t="s">
        <v>5051</v>
      </c>
      <c r="C44" t="s">
        <v>4989</v>
      </c>
      <c r="D44" s="8">
        <v>1</v>
      </c>
      <c r="E44" s="9">
        <v>478.87</v>
      </c>
      <c r="F44" s="8">
        <v>39</v>
      </c>
      <c r="G44" s="10"/>
      <c r="H44" s="9" t="str">
        <f>IF(G44="","",E44*G44)</f>
        <v/>
      </c>
      <c r="I44" s="11" t="str">
        <f>HYPERLINK("https://optomposuda.ru/product/svecha-dekorativnaya-parafinovaya-cvet-biryuzovyy-razmer-7-5x20-sm-art-64-0214-01","открыть")</f>
        <v>открыть</v>
      </c>
    </row>
    <row r="45" spans="1:9" x14ac:dyDescent="0.25">
      <c r="A45" t="s">
        <v>5052</v>
      </c>
      <c r="B45" t="s">
        <v>5053</v>
      </c>
      <c r="C45" t="s">
        <v>4989</v>
      </c>
      <c r="D45" s="8">
        <v>1</v>
      </c>
      <c r="E45" s="9">
        <v>259.2</v>
      </c>
      <c r="F45" s="8">
        <v>44</v>
      </c>
      <c r="G45" s="10"/>
      <c r="H45" s="9" t="str">
        <f>IF(G45="","",E45*G45)</f>
        <v/>
      </c>
      <c r="I45" s="11" t="str">
        <f>HYPERLINK("https://optomposuda.ru/product/svecha-dekorativnaya-parafinovaya-cvet-biryuzovyy-razmer-7-5x7-5-sm-art-64-0201-01","открыть")</f>
        <v>открыть</v>
      </c>
    </row>
    <row r="46" spans="1:9" x14ac:dyDescent="0.25">
      <c r="A46" t="s">
        <v>5054</v>
      </c>
      <c r="B46" t="s">
        <v>5055</v>
      </c>
      <c r="C46" t="s">
        <v>4989</v>
      </c>
      <c r="D46" s="8">
        <v>1</v>
      </c>
      <c r="E46" s="9">
        <v>244.78</v>
      </c>
      <c r="F46" s="8">
        <v>88</v>
      </c>
      <c r="G46" s="10"/>
      <c r="H46" s="9" t="str">
        <f>IF(G46="","",E46*G46)</f>
        <v/>
      </c>
      <c r="I46" s="11" t="str">
        <f>HYPERLINK("https://optomposuda.ru/product/svecha-dekorativnaya-parafinovaya-cvet-burgundiya-kruglaya-razmer-d-7-5sm-art-36-0616-25","открыть")</f>
        <v>открыть</v>
      </c>
    </row>
    <row r="47" spans="1:9" x14ac:dyDescent="0.25">
      <c r="A47" t="s">
        <v>5056</v>
      </c>
      <c r="B47" t="s">
        <v>5057</v>
      </c>
      <c r="C47" t="s">
        <v>4989</v>
      </c>
      <c r="D47" s="8">
        <v>1</v>
      </c>
      <c r="E47" s="9">
        <v>299.35</v>
      </c>
      <c r="F47" s="8">
        <v>198</v>
      </c>
      <c r="G47" s="10"/>
      <c r="H47" s="9" t="str">
        <f>IF(G47="","",E47*G47)</f>
        <v/>
      </c>
      <c r="I47" s="11" t="str">
        <f>HYPERLINK("https://optomposuda.ru/product/svecha-dekorativnaya-parafinovaya-cvet-burgundiya-razmer-7-5x10-sm-art-64-0202-13","открыть")</f>
        <v>открыть</v>
      </c>
    </row>
    <row r="48" spans="1:9" x14ac:dyDescent="0.25">
      <c r="A48" t="s">
        <v>5058</v>
      </c>
      <c r="B48" t="s">
        <v>5059</v>
      </c>
      <c r="C48" t="s">
        <v>4989</v>
      </c>
      <c r="D48" s="8">
        <v>1</v>
      </c>
      <c r="E48" s="9">
        <v>399.77</v>
      </c>
      <c r="F48" s="8">
        <v>167</v>
      </c>
      <c r="G48" s="10"/>
      <c r="H48" s="9" t="str">
        <f>IF(G48="","",E48*G48)</f>
        <v/>
      </c>
      <c r="I48" s="11" t="str">
        <f>HYPERLINK("https://optomposuda.ru/product/svecha-dekorativnaya-parafinovaya-cvet-burgundiya-razmer-7-5x15-sm-art-64-0203-19","открыть")</f>
        <v>открыть</v>
      </c>
    </row>
    <row r="49" spans="1:9" x14ac:dyDescent="0.25">
      <c r="A49" t="s">
        <v>5060</v>
      </c>
      <c r="B49" t="s">
        <v>5061</v>
      </c>
      <c r="C49" t="s">
        <v>4989</v>
      </c>
      <c r="D49" s="8">
        <v>1</v>
      </c>
      <c r="E49" s="9">
        <v>526.76</v>
      </c>
      <c r="F49" s="8">
        <v>103</v>
      </c>
      <c r="G49" s="10"/>
      <c r="H49" s="9" t="str">
        <f>IF(G49="","",E49*G49)</f>
        <v/>
      </c>
      <c r="I49" s="11" t="str">
        <f>HYPERLINK("https://optomposuda.ru/product/svecha-dekorativnaya-parafinovaya-cvet-burgundiya-razmer-7-5x20-sm-art-36-0616-34","открыть")</f>
        <v>открыть</v>
      </c>
    </row>
    <row r="50" spans="1:9" x14ac:dyDescent="0.25">
      <c r="A50" t="s">
        <v>5062</v>
      </c>
      <c r="B50" t="s">
        <v>5063</v>
      </c>
      <c r="C50" t="s">
        <v>4989</v>
      </c>
      <c r="D50" s="8">
        <v>1</v>
      </c>
      <c r="E50" s="9">
        <v>259.2</v>
      </c>
      <c r="F50" s="8">
        <v>207</v>
      </c>
      <c r="G50" s="10"/>
      <c r="H50" s="9" t="str">
        <f>IF(G50="","",E50*G50)</f>
        <v/>
      </c>
      <c r="I50" s="11" t="str">
        <f>HYPERLINK("https://optomposuda.ru/product/svecha-dekorativnaya-parafinovaya-cvet-burgundiya-razmer-7-5x7-5-sm-art-64-0201-12","открыть")</f>
        <v>открыть</v>
      </c>
    </row>
    <row r="51" spans="1:9" x14ac:dyDescent="0.25">
      <c r="A51" t="s">
        <v>5064</v>
      </c>
      <c r="B51" t="s">
        <v>5065</v>
      </c>
      <c r="C51" t="s">
        <v>4989</v>
      </c>
      <c r="D51" s="8">
        <v>1</v>
      </c>
      <c r="E51" s="9">
        <v>244.78</v>
      </c>
      <c r="F51" s="8">
        <v>57</v>
      </c>
      <c r="G51" s="10"/>
      <c r="H51" s="9" t="str">
        <f>IF(G51="","",E51*G51)</f>
        <v/>
      </c>
      <c r="I51" s="11" t="str">
        <f>HYPERLINK("https://optomposuda.ru/product/svecha-dekorativnaya-parafinovaya-cvet-goluboy-kruglaya-razmer-d-7-5sm-art-36-0616-28","открыть")</f>
        <v>открыть</v>
      </c>
    </row>
    <row r="52" spans="1:9" x14ac:dyDescent="0.25">
      <c r="A52" t="s">
        <v>5066</v>
      </c>
      <c r="B52" t="s">
        <v>5067</v>
      </c>
      <c r="C52" t="s">
        <v>4989</v>
      </c>
      <c r="D52" s="8">
        <v>1</v>
      </c>
      <c r="E52" s="9">
        <v>299.35</v>
      </c>
      <c r="F52" s="8">
        <v>28</v>
      </c>
      <c r="G52" s="10"/>
      <c r="H52" s="9" t="str">
        <f>IF(G52="","",E52*G52)</f>
        <v/>
      </c>
      <c r="I52" s="11" t="str">
        <f>HYPERLINK("https://optomposuda.ru/product/svecha-dekorativnaya-parafinovaya-cvet-goluboy-razmer-7-5x10-sm-art-64-0202-18","открыть")</f>
        <v>открыть</v>
      </c>
    </row>
    <row r="53" spans="1:9" x14ac:dyDescent="0.25">
      <c r="A53" t="s">
        <v>5068</v>
      </c>
      <c r="B53" t="s">
        <v>5069</v>
      </c>
      <c r="C53" t="s">
        <v>4989</v>
      </c>
      <c r="D53" s="8">
        <v>1</v>
      </c>
      <c r="E53" s="9">
        <v>399.77</v>
      </c>
      <c r="F53" s="8">
        <v>64</v>
      </c>
      <c r="G53" s="10"/>
      <c r="H53" s="9" t="str">
        <f>IF(G53="","",E53*G53)</f>
        <v/>
      </c>
      <c r="I53" s="11" t="str">
        <f>HYPERLINK("https://optomposuda.ru/product/svecha-dekorativnaya-parafinovaya-cvet-goluboy-razmer-7-5x15-sm-art-64-0203-18","открыть")</f>
        <v>открыть</v>
      </c>
    </row>
    <row r="54" spans="1:9" x14ac:dyDescent="0.25">
      <c r="A54" t="s">
        <v>5070</v>
      </c>
      <c r="B54" t="s">
        <v>5071</v>
      </c>
      <c r="C54" t="s">
        <v>4989</v>
      </c>
      <c r="D54" s="8">
        <v>1</v>
      </c>
      <c r="E54" s="9">
        <v>478.87</v>
      </c>
      <c r="F54" s="8">
        <v>55</v>
      </c>
      <c r="G54" s="10"/>
      <c r="H54" s="9" t="str">
        <f>IF(G54="","",E54*G54)</f>
        <v/>
      </c>
      <c r="I54" s="11" t="str">
        <f>HYPERLINK("https://optomposuda.ru/product/svecha-dekorativnaya-parafinovaya-cvet-goluboy-razmer-7-5x20-sm-art-64-0214-18","открыть")</f>
        <v>открыть</v>
      </c>
    </row>
    <row r="55" spans="1:9" x14ac:dyDescent="0.25">
      <c r="A55" t="s">
        <v>5072</v>
      </c>
      <c r="B55" t="s">
        <v>5073</v>
      </c>
      <c r="C55" t="s">
        <v>4989</v>
      </c>
      <c r="D55" s="8">
        <v>1</v>
      </c>
      <c r="E55" s="9">
        <v>285.12</v>
      </c>
      <c r="F55" s="8">
        <v>34</v>
      </c>
      <c r="G55" s="10"/>
      <c r="H55" s="9" t="str">
        <f>IF(G55="","",E55*G55)</f>
        <v/>
      </c>
      <c r="I55" s="11" t="str">
        <f>HYPERLINK("https://optomposuda.ru/product/svecha-dekorativnaya-parafinovaya-cvet-goluboy-razmer-7-5x7-5-sm-art-64-0202-35","открыть")</f>
        <v>открыть</v>
      </c>
    </row>
    <row r="56" spans="1:9" x14ac:dyDescent="0.25">
      <c r="A56" t="s">
        <v>5074</v>
      </c>
      <c r="B56" t="s">
        <v>5075</v>
      </c>
      <c r="C56" t="s">
        <v>4989</v>
      </c>
      <c r="D56" s="8">
        <v>1</v>
      </c>
      <c r="E56" s="9">
        <v>244.78</v>
      </c>
      <c r="F56" s="8">
        <v>53</v>
      </c>
      <c r="G56" s="10"/>
      <c r="H56" s="9" t="str">
        <f>IF(G56="","",E56*G56)</f>
        <v/>
      </c>
      <c r="I56" s="11" t="str">
        <f>HYPERLINK("https://optomposuda.ru/product/svecha-dekorativnaya-parafinovaya-cvet-zelenyy-kruglaya-razmer-d-7-5sm-art-36-0616-26","открыть")</f>
        <v>открыть</v>
      </c>
    </row>
    <row r="57" spans="1:9" x14ac:dyDescent="0.25">
      <c r="A57" t="s">
        <v>5076</v>
      </c>
      <c r="B57" t="s">
        <v>5077</v>
      </c>
      <c r="C57" t="s">
        <v>4989</v>
      </c>
      <c r="D57" s="8">
        <v>1</v>
      </c>
      <c r="E57" s="9">
        <v>299.35</v>
      </c>
      <c r="F57" s="8">
        <v>42</v>
      </c>
      <c r="G57" s="10"/>
      <c r="H57" s="9" t="str">
        <f>IF(G57="","",E57*G57)</f>
        <v/>
      </c>
      <c r="I57" s="11" t="str">
        <f>HYPERLINK("https://optomposuda.ru/product/svecha-dekorativnaya-parafinovaya-cvet-zelenyy-razmer-7-5x10-sm-art-64-0202-05","открыть")</f>
        <v>открыть</v>
      </c>
    </row>
    <row r="58" spans="1:9" x14ac:dyDescent="0.25">
      <c r="A58" t="s">
        <v>5078</v>
      </c>
      <c r="B58" t="s">
        <v>5079</v>
      </c>
      <c r="C58" t="s">
        <v>4989</v>
      </c>
      <c r="D58" s="8">
        <v>1</v>
      </c>
      <c r="E58" s="9">
        <v>399.77</v>
      </c>
      <c r="F58" s="8">
        <v>40</v>
      </c>
      <c r="G58" s="10"/>
      <c r="H58" s="9" t="str">
        <f>IF(G58="","",E58*G58)</f>
        <v/>
      </c>
      <c r="I58" s="11" t="str">
        <f>HYPERLINK("https://optomposuda.ru/product/svecha-dekorativnaya-parafinovaya-cvet-zelenyy-razmer-7-5x15-sm-art-64-0203-03","открыть")</f>
        <v>открыть</v>
      </c>
    </row>
    <row r="59" spans="1:9" x14ac:dyDescent="0.25">
      <c r="A59" t="s">
        <v>5080</v>
      </c>
      <c r="B59" t="s">
        <v>5081</v>
      </c>
      <c r="C59" t="s">
        <v>4989</v>
      </c>
      <c r="D59" s="8">
        <v>1</v>
      </c>
      <c r="E59" s="9">
        <v>478.87</v>
      </c>
      <c r="F59" s="8">
        <v>52</v>
      </c>
      <c r="G59" s="10"/>
      <c r="H59" s="9" t="str">
        <f>IF(G59="","",E59*G59)</f>
        <v/>
      </c>
      <c r="I59" s="11" t="str">
        <f>HYPERLINK("https://optomposuda.ru/product/svecha-dekorativnaya-parafinovaya-cvet-zelenyy-razmer-7-5x20-sm-art-64-0214-05","открыть")</f>
        <v>открыть</v>
      </c>
    </row>
    <row r="60" spans="1:9" x14ac:dyDescent="0.25">
      <c r="A60" t="s">
        <v>5082</v>
      </c>
      <c r="B60" t="s">
        <v>5083</v>
      </c>
      <c r="C60" t="s">
        <v>4989</v>
      </c>
      <c r="D60" s="8">
        <v>1</v>
      </c>
      <c r="E60" s="9">
        <v>259.2</v>
      </c>
      <c r="F60" s="8">
        <v>47</v>
      </c>
      <c r="G60" s="10"/>
      <c r="H60" s="9" t="str">
        <f>IF(G60="","",E60*G60)</f>
        <v/>
      </c>
      <c r="I60" s="11" t="str">
        <f>HYPERLINK("https://optomposuda.ru/product/svecha-dekorativnaya-parafinovaya-cvet-zelenyy-razmer-7-5x7-5-sm-art-64-0201-05","открыть")</f>
        <v>открыть</v>
      </c>
    </row>
    <row r="61" spans="1:9" x14ac:dyDescent="0.25">
      <c r="A61" t="s">
        <v>5084</v>
      </c>
      <c r="B61" t="s">
        <v>5085</v>
      </c>
      <c r="C61" t="s">
        <v>4989</v>
      </c>
      <c r="D61" s="8">
        <v>1</v>
      </c>
      <c r="E61" s="9">
        <v>307.54</v>
      </c>
      <c r="F61" s="8">
        <v>42</v>
      </c>
      <c r="G61" s="10"/>
      <c r="H61" s="9" t="str">
        <f>IF(G61="","",E61*G61)</f>
        <v/>
      </c>
      <c r="I61" s="11" t="str">
        <f>HYPERLINK("https://optomposuda.ru/product/svecha-dekorativnaya-parafinovaya-cvet-zolotoy-kruglaya-razmer-d-7-5sm-art-36-0616-21","открыть")</f>
        <v>открыть</v>
      </c>
    </row>
    <row r="62" spans="1:9" x14ac:dyDescent="0.25">
      <c r="A62" t="s">
        <v>5086</v>
      </c>
      <c r="B62" t="s">
        <v>5087</v>
      </c>
      <c r="C62" t="s">
        <v>4989</v>
      </c>
      <c r="D62" s="8">
        <v>1</v>
      </c>
      <c r="E62" s="9">
        <v>362.11</v>
      </c>
      <c r="F62" s="8">
        <v>211</v>
      </c>
      <c r="G62" s="10"/>
      <c r="H62" s="9" t="str">
        <f>IF(G62="","",E62*G62)</f>
        <v/>
      </c>
      <c r="I62" s="11" t="str">
        <f>HYPERLINK("https://optomposuda.ru/product/svecha-dekorativnaya-parafinovaya-cvet-zolotoy-razmer-7-5x10-sm-art-64-0202-21","открыть")</f>
        <v>открыть</v>
      </c>
    </row>
    <row r="63" spans="1:9" x14ac:dyDescent="0.25">
      <c r="A63" t="s">
        <v>5088</v>
      </c>
      <c r="B63" t="s">
        <v>5089</v>
      </c>
      <c r="C63" t="s">
        <v>4989</v>
      </c>
      <c r="D63" s="8">
        <v>1</v>
      </c>
      <c r="E63" s="9">
        <v>462.53</v>
      </c>
      <c r="F63" s="8">
        <v>179</v>
      </c>
      <c r="G63" s="10"/>
      <c r="H63" s="9" t="str">
        <f>IF(G63="","",E63*G63)</f>
        <v/>
      </c>
      <c r="I63" s="11" t="str">
        <f>HYPERLINK("https://optomposuda.ru/product/svecha-dekorativnaya-parafinovaya-cvet-zolotoy-razmer-7-5x15-sm-art-64-0203-21","открыть")</f>
        <v>открыть</v>
      </c>
    </row>
    <row r="64" spans="1:9" x14ac:dyDescent="0.25">
      <c r="A64" t="s">
        <v>5090</v>
      </c>
      <c r="B64" t="s">
        <v>5091</v>
      </c>
      <c r="C64" t="s">
        <v>4989</v>
      </c>
      <c r="D64" s="8">
        <v>1</v>
      </c>
      <c r="E64" s="9">
        <v>573</v>
      </c>
      <c r="F64" s="8">
        <v>191</v>
      </c>
      <c r="G64" s="10"/>
      <c r="H64" s="9" t="str">
        <f>IF(G64="","",E64*G64)</f>
        <v/>
      </c>
      <c r="I64" s="11" t="str">
        <f>HYPERLINK("https://optomposuda.ru/product/svecha-dekorativnaya-parafinovaya-cvet-zolotoy-razmer-7-5x20-sm-art-64-0214-21","открыть")</f>
        <v>открыть</v>
      </c>
    </row>
    <row r="65" spans="1:9" x14ac:dyDescent="0.25">
      <c r="A65" t="s">
        <v>5092</v>
      </c>
      <c r="B65" t="s">
        <v>5093</v>
      </c>
      <c r="C65" t="s">
        <v>4989</v>
      </c>
      <c r="D65" s="8">
        <v>1</v>
      </c>
      <c r="E65" s="9">
        <v>321.96</v>
      </c>
      <c r="F65" s="8">
        <v>257</v>
      </c>
      <c r="G65" s="10"/>
      <c r="H65" s="9" t="str">
        <f>IF(G65="","",E65*G65)</f>
        <v/>
      </c>
      <c r="I65" s="11" t="str">
        <f>HYPERLINK("https://optomposuda.ru/product/svecha-dekorativnaya-parafinovaya-cvet-zolotoy-razmer-7-5x7-5-sm-art-64-0201-21","открыть")</f>
        <v>открыть</v>
      </c>
    </row>
    <row r="66" spans="1:9" x14ac:dyDescent="0.25">
      <c r="A66" t="s">
        <v>5094</v>
      </c>
      <c r="B66" t="s">
        <v>5095</v>
      </c>
      <c r="C66" t="s">
        <v>4989</v>
      </c>
      <c r="D66" s="8">
        <v>1</v>
      </c>
      <c r="E66" s="9">
        <v>244.78</v>
      </c>
      <c r="F66" s="8">
        <v>107</v>
      </c>
      <c r="G66" s="10"/>
      <c r="H66" s="9" t="str">
        <f>IF(G66="","",E66*G66)</f>
        <v/>
      </c>
      <c r="I66" s="11" t="str">
        <f>HYPERLINK("https://optomposuda.ru/product/svecha-dekorativnaya-parafinovaya-cvet-krasnyy-kruglaya-razmer-d-7-5-sm-art-36-0616-27","открыть")</f>
        <v>открыть</v>
      </c>
    </row>
    <row r="67" spans="1:9" x14ac:dyDescent="0.25">
      <c r="A67" t="s">
        <v>5096</v>
      </c>
      <c r="B67" t="s">
        <v>5097</v>
      </c>
      <c r="C67" t="s">
        <v>4989</v>
      </c>
      <c r="D67" s="8">
        <v>1</v>
      </c>
      <c r="E67" s="9">
        <v>478.87</v>
      </c>
      <c r="F67" s="8">
        <v>283</v>
      </c>
      <c r="G67" s="10"/>
      <c r="H67" s="9" t="str">
        <f>IF(G67="","",E67*G67)</f>
        <v/>
      </c>
      <c r="I67" s="11" t="str">
        <f>HYPERLINK("https://optomposuda.ru/product/svecha-dekorativnaya-parafinovaya-cvet-krasnyy-razmer-7-5x20-sm-art-64-0214-02","открыть")</f>
        <v>открыть</v>
      </c>
    </row>
    <row r="68" spans="1:9" x14ac:dyDescent="0.25">
      <c r="A68" t="s">
        <v>5098</v>
      </c>
      <c r="B68" t="s">
        <v>5099</v>
      </c>
      <c r="C68" t="s">
        <v>4989</v>
      </c>
      <c r="D68" s="8">
        <v>1</v>
      </c>
      <c r="E68" s="9">
        <v>285.12</v>
      </c>
      <c r="F68" s="8">
        <v>285</v>
      </c>
      <c r="G68" s="10"/>
      <c r="H68" s="9" t="str">
        <f>IF(G68="","",E68*G68)</f>
        <v/>
      </c>
      <c r="I68" s="11" t="str">
        <f>HYPERLINK("https://optomposuda.ru/product/svecha-dekorativnaya-parafinovaya-cvet-krasnyy-razmer-7-5x7-5-sm-art-64-0201-02","открыть")</f>
        <v>открыть</v>
      </c>
    </row>
    <row r="69" spans="1:9" x14ac:dyDescent="0.25">
      <c r="A69" t="s">
        <v>5100</v>
      </c>
      <c r="B69" t="s">
        <v>5101</v>
      </c>
      <c r="C69" t="s">
        <v>4989</v>
      </c>
      <c r="D69" s="8">
        <v>1</v>
      </c>
      <c r="E69" s="9">
        <v>244.78</v>
      </c>
      <c r="F69" s="8">
        <v>29</v>
      </c>
      <c r="G69" s="10"/>
      <c r="H69" s="9" t="str">
        <f>IF(G69="","",E69*G69)</f>
        <v/>
      </c>
      <c r="I69" s="11" t="str">
        <f>HYPERLINK("https://optomposuda.ru/product/svecha-dekorativnaya-parafinovaya-cvet-lilovyy-kruglaya-razmer-d-7-5sm-art-36-0616-32","открыть")</f>
        <v>открыть</v>
      </c>
    </row>
    <row r="70" spans="1:9" x14ac:dyDescent="0.25">
      <c r="A70" t="s">
        <v>5102</v>
      </c>
      <c r="B70" t="s">
        <v>5103</v>
      </c>
      <c r="C70" t="s">
        <v>4989</v>
      </c>
      <c r="D70" s="8">
        <v>1</v>
      </c>
      <c r="E70" s="9">
        <v>399.77</v>
      </c>
      <c r="F70" s="8">
        <v>37</v>
      </c>
      <c r="G70" s="10"/>
      <c r="H70" s="9" t="str">
        <f>IF(G70="","",E70*G70)</f>
        <v/>
      </c>
      <c r="I70" s="11" t="str">
        <f>HYPERLINK("https://optomposuda.ru/product/svecha-dekorativnaya-parafinovaya-cvet-lilovyy-razmer-7-5x15-sm-art-64-0203-17","открыть")</f>
        <v>открыть</v>
      </c>
    </row>
    <row r="71" spans="1:9" x14ac:dyDescent="0.25">
      <c r="A71" t="s">
        <v>5104</v>
      </c>
      <c r="B71" t="s">
        <v>5105</v>
      </c>
      <c r="C71" t="s">
        <v>4989</v>
      </c>
      <c r="D71" s="8">
        <v>1</v>
      </c>
      <c r="E71" s="9">
        <v>478.87</v>
      </c>
      <c r="F71" s="8">
        <v>2</v>
      </c>
      <c r="G71" s="10"/>
      <c r="H71" s="9" t="str">
        <f>IF(G71="","",E71*G71)</f>
        <v/>
      </c>
      <c r="I71" s="11" t="str">
        <f>HYPERLINK("https://optomposuda.ru/product/svecha-dekorativnaya-parafinovaya-cvet-lilovyy-razmer-7-5x20-sm-art-64-0214-17","открыть")</f>
        <v>открыть</v>
      </c>
    </row>
    <row r="72" spans="1:9" x14ac:dyDescent="0.25">
      <c r="A72" t="s">
        <v>5106</v>
      </c>
      <c r="B72" t="s">
        <v>5107</v>
      </c>
      <c r="C72" t="s">
        <v>4989</v>
      </c>
      <c r="D72" s="8">
        <v>1</v>
      </c>
      <c r="E72" s="9">
        <v>244.78</v>
      </c>
      <c r="F72" s="8">
        <v>53</v>
      </c>
      <c r="G72" s="10"/>
      <c r="H72" s="9" t="str">
        <f>IF(G72="","",E72*G72)</f>
        <v/>
      </c>
      <c r="I72" s="11" t="str">
        <f>HYPERLINK("https://optomposuda.ru/product/svecha-dekorativnaya-parafinovaya-cvet-oranzhevyy-kruglaya-razmer-d-7-5sm-art-36-0616-23","открыть")</f>
        <v>открыть</v>
      </c>
    </row>
    <row r="73" spans="1:9" x14ac:dyDescent="0.25">
      <c r="A73" t="s">
        <v>5108</v>
      </c>
      <c r="B73" t="s">
        <v>5109</v>
      </c>
      <c r="C73" t="s">
        <v>4989</v>
      </c>
      <c r="D73" s="8">
        <v>1</v>
      </c>
      <c r="E73" s="9">
        <v>299.35</v>
      </c>
      <c r="F73" s="8">
        <v>111</v>
      </c>
      <c r="G73" s="10"/>
      <c r="H73" s="9" t="str">
        <f>IF(G73="","",E73*G73)</f>
        <v/>
      </c>
      <c r="I73" s="11" t="str">
        <f>HYPERLINK("https://optomposuda.ru/product/svecha-dekorativnaya-parafinovaya-cvet-oranzhevyy-razmer-7-5x10-sm-art-64-0202-044","открыть")</f>
        <v>открыть</v>
      </c>
    </row>
    <row r="74" spans="1:9" x14ac:dyDescent="0.25">
      <c r="A74" t="s">
        <v>5110</v>
      </c>
      <c r="B74" t="s">
        <v>5111</v>
      </c>
      <c r="C74" t="s">
        <v>4989</v>
      </c>
      <c r="D74" s="8">
        <v>1</v>
      </c>
      <c r="E74" s="9">
        <v>399.77</v>
      </c>
      <c r="F74" s="8">
        <v>8</v>
      </c>
      <c r="G74" s="10"/>
      <c r="H74" s="9" t="str">
        <f>IF(G74="","",E74*G74)</f>
        <v/>
      </c>
      <c r="I74" s="11" t="str">
        <f>HYPERLINK("https://optomposuda.ru/product/svecha-dekorativnaya-parafinovaya-cvet-oranzhevyy-razmer-7-5x15-sm-art-64-0203-12","открыть")</f>
        <v>открыть</v>
      </c>
    </row>
    <row r="75" spans="1:9" x14ac:dyDescent="0.25">
      <c r="A75" t="s">
        <v>5112</v>
      </c>
      <c r="B75" t="s">
        <v>5113</v>
      </c>
      <c r="C75" t="s">
        <v>4989</v>
      </c>
      <c r="D75" s="8">
        <v>1</v>
      </c>
      <c r="E75" s="9">
        <v>478.87</v>
      </c>
      <c r="F75" s="8">
        <v>71</v>
      </c>
      <c r="G75" s="10"/>
      <c r="H75" s="9" t="str">
        <f>IF(G75="","",E75*G75)</f>
        <v/>
      </c>
      <c r="I75" s="11" t="str">
        <f>HYPERLINK("https://optomposuda.ru/product/svecha-dekorativnaya-parafinovaya-cvet-oranzhevyy-razmer-7-5x20-sm-art-64-0214-04","открыть")</f>
        <v>открыть</v>
      </c>
    </row>
    <row r="76" spans="1:9" x14ac:dyDescent="0.25">
      <c r="A76" t="s">
        <v>5114</v>
      </c>
      <c r="B76" t="s">
        <v>5115</v>
      </c>
      <c r="C76" t="s">
        <v>4989</v>
      </c>
      <c r="D76" s="8">
        <v>1</v>
      </c>
      <c r="E76" s="9">
        <v>259.2</v>
      </c>
      <c r="F76" s="8">
        <v>123</v>
      </c>
      <c r="G76" s="10"/>
      <c r="H76" s="9" t="str">
        <f>IF(G76="","",E76*G76)</f>
        <v/>
      </c>
      <c r="I76" s="11" t="str">
        <f>HYPERLINK("https://optomposuda.ru/product/svecha-dekorativnaya-parafinovaya-cvet-oranzhevyy-razmer-7-5x7-5-sm-art-64-0201-04","открыть")</f>
        <v>открыть</v>
      </c>
    </row>
    <row r="77" spans="1:9" x14ac:dyDescent="0.25">
      <c r="A77" t="s">
        <v>5116</v>
      </c>
      <c r="B77" t="s">
        <v>5117</v>
      </c>
      <c r="C77" t="s">
        <v>4989</v>
      </c>
      <c r="D77" s="8">
        <v>1</v>
      </c>
      <c r="E77" s="9">
        <v>244.78</v>
      </c>
      <c r="F77" s="8">
        <v>25</v>
      </c>
      <c r="G77" s="10"/>
      <c r="H77" s="9" t="str">
        <f>IF(G77="","",E77*G77)</f>
        <v/>
      </c>
      <c r="I77" s="11" t="str">
        <f>HYPERLINK("https://optomposuda.ru/product/svecha-dekorativnaya-parafinovaya-cvet-rozovyy-kruglaya-razmer-d-7-5sm-art-36-0616-33","открыть")</f>
        <v>открыть</v>
      </c>
    </row>
    <row r="78" spans="1:9" x14ac:dyDescent="0.25">
      <c r="A78" t="s">
        <v>5118</v>
      </c>
      <c r="B78" t="s">
        <v>5119</v>
      </c>
      <c r="C78" t="s">
        <v>4989</v>
      </c>
      <c r="D78" s="8">
        <v>1</v>
      </c>
      <c r="E78" s="9">
        <v>299.35</v>
      </c>
      <c r="F78" s="8">
        <v>45</v>
      </c>
      <c r="G78" s="10"/>
      <c r="H78" s="9" t="str">
        <f>IF(G78="","",E78*G78)</f>
        <v/>
      </c>
      <c r="I78" s="11" t="str">
        <f>HYPERLINK("https://optomposuda.ru/product/svecha-dekorativnaya-parafinovaya-cvet-rozovyy-razmer-7-5x10-sm-art-36-0616-44","открыть")</f>
        <v>открыть</v>
      </c>
    </row>
    <row r="79" spans="1:9" x14ac:dyDescent="0.25">
      <c r="A79" t="s">
        <v>5120</v>
      </c>
      <c r="B79" t="s">
        <v>5121</v>
      </c>
      <c r="C79" t="s">
        <v>4989</v>
      </c>
      <c r="D79" s="8">
        <v>1</v>
      </c>
      <c r="E79" s="9">
        <v>399.77</v>
      </c>
      <c r="F79" s="8">
        <v>44</v>
      </c>
      <c r="G79" s="10"/>
      <c r="H79" s="9" t="str">
        <f>IF(G79="","",E79*G79)</f>
        <v/>
      </c>
      <c r="I79" s="11" t="str">
        <f>HYPERLINK("https://optomposuda.ru/product/svecha-dekorativnaya-parafinovaya-cvet-rozovyy-razmer-7-5x15-sm-art-36-0616-45","открыть")</f>
        <v>открыть</v>
      </c>
    </row>
    <row r="80" spans="1:9" x14ac:dyDescent="0.25">
      <c r="A80" t="s">
        <v>5122</v>
      </c>
      <c r="B80" t="s">
        <v>5123</v>
      </c>
      <c r="C80" t="s">
        <v>4989</v>
      </c>
      <c r="D80" s="8">
        <v>1</v>
      </c>
      <c r="E80" s="9">
        <v>478.87</v>
      </c>
      <c r="F80" s="8">
        <v>48</v>
      </c>
      <c r="G80" s="10"/>
      <c r="H80" s="9" t="str">
        <f>IF(G80="","",E80*G80)</f>
        <v/>
      </c>
      <c r="I80" s="11" t="str">
        <f>HYPERLINK("https://optomposuda.ru/product/svecha-dekorativnaya-parafinovaya-cvet-rozovyy-razmer-7-5x20-sm-art-36-0616-46","открыть")</f>
        <v>открыть</v>
      </c>
    </row>
    <row r="81" spans="1:9" x14ac:dyDescent="0.25">
      <c r="A81" t="s">
        <v>5124</v>
      </c>
      <c r="B81" t="s">
        <v>5125</v>
      </c>
      <c r="C81" t="s">
        <v>4989</v>
      </c>
      <c r="D81" s="8">
        <v>1</v>
      </c>
      <c r="E81" s="9">
        <v>259.2</v>
      </c>
      <c r="F81" s="8">
        <v>54</v>
      </c>
      <c r="G81" s="10"/>
      <c r="H81" s="9" t="str">
        <f>IF(G81="","",E81*G81)</f>
        <v/>
      </c>
      <c r="I81" s="11" t="str">
        <f>HYPERLINK("https://optomposuda.ru/product/svecha-dekorativnaya-parafinovaya-cvet-rozovyy-razmer-7-5x7-5-sm-art-36-0616-43","открыть")</f>
        <v>открыть</v>
      </c>
    </row>
    <row r="82" spans="1:9" x14ac:dyDescent="0.25">
      <c r="A82" t="s">
        <v>5126</v>
      </c>
      <c r="B82" t="s">
        <v>5127</v>
      </c>
      <c r="C82" t="s">
        <v>4989</v>
      </c>
      <c r="D82" s="8">
        <v>1</v>
      </c>
      <c r="E82" s="9">
        <v>307.54</v>
      </c>
      <c r="F82" s="8">
        <v>23</v>
      </c>
      <c r="G82" s="10"/>
      <c r="H82" s="9" t="str">
        <f>IF(G82="","",E82*G82)</f>
        <v/>
      </c>
      <c r="I82" s="11" t="str">
        <f>HYPERLINK("https://optomposuda.ru/product/svecha-dekorativnaya-parafinovaya-cvet-serebro-kruglaya-razmer-d-7-5-sm-art-36-0616-20","открыть")</f>
        <v>открыть</v>
      </c>
    </row>
    <row r="83" spans="1:9" x14ac:dyDescent="0.25">
      <c r="A83" t="s">
        <v>5128</v>
      </c>
      <c r="B83" t="s">
        <v>5129</v>
      </c>
      <c r="C83" t="s">
        <v>4989</v>
      </c>
      <c r="D83" s="8">
        <v>1</v>
      </c>
      <c r="E83" s="9">
        <v>362.11</v>
      </c>
      <c r="F83" s="8">
        <v>311</v>
      </c>
      <c r="G83" s="10"/>
      <c r="H83" s="9" t="str">
        <f>IF(G83="","",E83*G83)</f>
        <v/>
      </c>
      <c r="I83" s="11" t="str">
        <f>HYPERLINK("https://optomposuda.ru/product/svecha-dekorativnaya-parafinovaya-cvet-serebro-razmer-7-5x10-sm-art-64-0202-20","открыть")</f>
        <v>открыть</v>
      </c>
    </row>
    <row r="84" spans="1:9" x14ac:dyDescent="0.25">
      <c r="A84" t="s">
        <v>5130</v>
      </c>
      <c r="B84" t="s">
        <v>5131</v>
      </c>
      <c r="C84" t="s">
        <v>4989</v>
      </c>
      <c r="D84" s="8">
        <v>1</v>
      </c>
      <c r="E84" s="9">
        <v>462.53</v>
      </c>
      <c r="F84" s="8">
        <v>288</v>
      </c>
      <c r="G84" s="10"/>
      <c r="H84" s="9" t="str">
        <f>IF(G84="","",E84*G84)</f>
        <v/>
      </c>
      <c r="I84" s="11" t="str">
        <f>HYPERLINK("https://optomposuda.ru/product/svecha-dekorativnaya-parafinovaya-cvet-serebro-razmer-7-5x15-sm-art-64-0203-20","открыть")</f>
        <v>открыть</v>
      </c>
    </row>
    <row r="85" spans="1:9" x14ac:dyDescent="0.25">
      <c r="A85" t="s">
        <v>5132</v>
      </c>
      <c r="B85" t="s">
        <v>5133</v>
      </c>
      <c r="C85" t="s">
        <v>4989</v>
      </c>
      <c r="D85" s="8">
        <v>1</v>
      </c>
      <c r="E85" s="9">
        <v>573</v>
      </c>
      <c r="F85" s="8">
        <v>246</v>
      </c>
      <c r="G85" s="10"/>
      <c r="H85" s="9" t="str">
        <f>IF(G85="","",E85*G85)</f>
        <v/>
      </c>
      <c r="I85" s="11" t="str">
        <f>HYPERLINK("https://optomposuda.ru/product/svecha-dekorativnaya-parafinovaya-cvet-serebro-razmer-7-5x20-sm-art-64-0214-20","открыть")</f>
        <v>открыть</v>
      </c>
    </row>
    <row r="86" spans="1:9" x14ac:dyDescent="0.25">
      <c r="A86" t="s">
        <v>5134</v>
      </c>
      <c r="B86" t="s">
        <v>5135</v>
      </c>
      <c r="C86" t="s">
        <v>4989</v>
      </c>
      <c r="D86" s="8">
        <v>1</v>
      </c>
      <c r="E86" s="9">
        <v>321.96</v>
      </c>
      <c r="F86" s="8">
        <v>214</v>
      </c>
      <c r="G86" s="10"/>
      <c r="H86" s="9" t="str">
        <f>IF(G86="","",E86*G86)</f>
        <v/>
      </c>
      <c r="I86" s="11" t="str">
        <f>HYPERLINK("https://optomposuda.ru/product/svecha-dekorativnaya-parafinovaya-cvet-serebro-razmer-7-5x7-5-sm-art-64-0201-20","открыть")</f>
        <v>открыть</v>
      </c>
    </row>
    <row r="87" spans="1:9" x14ac:dyDescent="0.25">
      <c r="A87" t="s">
        <v>5136</v>
      </c>
      <c r="B87" t="s">
        <v>5137</v>
      </c>
      <c r="C87" t="s">
        <v>4989</v>
      </c>
      <c r="D87" s="8">
        <v>1</v>
      </c>
      <c r="E87" s="9">
        <v>244.78</v>
      </c>
      <c r="F87" s="8">
        <v>167</v>
      </c>
      <c r="G87" s="10"/>
      <c r="H87" s="9" t="str">
        <f>IF(G87="","",E87*G87)</f>
        <v/>
      </c>
      <c r="I87" s="11" t="str">
        <f>HYPERLINK("https://optomposuda.ru/product/svecha-dekorativnaya-parafinovaya-cvet-seryy-kruglaya-razmer-d-7-5sm-art-36-0616-22","открыть")</f>
        <v>открыть</v>
      </c>
    </row>
    <row r="88" spans="1:9" x14ac:dyDescent="0.25">
      <c r="A88" t="s">
        <v>5138</v>
      </c>
      <c r="B88" t="s">
        <v>5139</v>
      </c>
      <c r="C88" t="s">
        <v>4989</v>
      </c>
      <c r="D88" s="8">
        <v>1</v>
      </c>
      <c r="E88" s="9">
        <v>299.35</v>
      </c>
      <c r="F88" s="8">
        <v>161</v>
      </c>
      <c r="G88" s="10"/>
      <c r="H88" s="9" t="str">
        <f>IF(G88="","",E88*G88)</f>
        <v/>
      </c>
      <c r="I88" s="11" t="str">
        <f>HYPERLINK("https://optomposuda.ru/product/svecha-dekorativnaya-parafinovaya-cvet-seryy-razmer-7-5x10-sm-art-64-0202-11","открыть")</f>
        <v>открыть</v>
      </c>
    </row>
    <row r="89" spans="1:9" x14ac:dyDescent="0.25">
      <c r="A89" t="s">
        <v>5140</v>
      </c>
      <c r="B89" t="s">
        <v>5141</v>
      </c>
      <c r="C89" t="s">
        <v>4989</v>
      </c>
      <c r="D89" s="8">
        <v>1</v>
      </c>
      <c r="E89" s="9">
        <v>399.77</v>
      </c>
      <c r="F89" s="8">
        <v>170</v>
      </c>
      <c r="G89" s="10"/>
      <c r="H89" s="9" t="str">
        <f>IF(G89="","",E89*G89)</f>
        <v/>
      </c>
      <c r="I89" s="11" t="str">
        <f>HYPERLINK("https://optomposuda.ru/product/svecha-dekorativnaya-parafinovaya-cvet-seryy-razmer-7-5x15-sm-art-64-0203-13","открыть")</f>
        <v>открыть</v>
      </c>
    </row>
    <row r="90" spans="1:9" x14ac:dyDescent="0.25">
      <c r="A90" t="s">
        <v>5142</v>
      </c>
      <c r="B90" t="s">
        <v>5143</v>
      </c>
      <c r="C90" t="s">
        <v>4989</v>
      </c>
      <c r="D90" s="8">
        <v>1</v>
      </c>
      <c r="E90" s="9">
        <v>526.76</v>
      </c>
      <c r="F90" s="8">
        <v>102</v>
      </c>
      <c r="G90" s="10"/>
      <c r="H90" s="9" t="str">
        <f>IF(G90="","",E90*G90)</f>
        <v/>
      </c>
      <c r="I90" s="11" t="str">
        <f>HYPERLINK("https://optomposuda.ru/product/svecha-dekorativnaya-parafinovaya-cvet-seryy-razmer-7-5x20-sm-art-64-0214-13","открыть")</f>
        <v>открыть</v>
      </c>
    </row>
    <row r="91" spans="1:9" x14ac:dyDescent="0.25">
      <c r="A91" t="s">
        <v>5144</v>
      </c>
      <c r="B91" t="s">
        <v>5145</v>
      </c>
      <c r="C91" t="s">
        <v>4989</v>
      </c>
      <c r="D91" s="8">
        <v>1</v>
      </c>
      <c r="E91" s="9">
        <v>285.12</v>
      </c>
      <c r="F91" s="8">
        <v>58</v>
      </c>
      <c r="G91" s="10"/>
      <c r="H91" s="9" t="str">
        <f>IF(G91="","",E91*G91)</f>
        <v/>
      </c>
      <c r="I91" s="11" t="str">
        <f>HYPERLINK("https://optomposuda.ru/product/svecha-dekorativnaya-parafinovaya-cvet-seryy-razmer-7-5x7-5-sm-art-64-0201-10","открыть")</f>
        <v>открыть</v>
      </c>
    </row>
    <row r="92" spans="1:9" x14ac:dyDescent="0.25">
      <c r="A92" t="s">
        <v>5146</v>
      </c>
      <c r="B92" t="s">
        <v>5147</v>
      </c>
      <c r="C92" t="s">
        <v>4989</v>
      </c>
      <c r="D92" s="8">
        <v>1</v>
      </c>
      <c r="E92" s="9">
        <v>244.78</v>
      </c>
      <c r="F92" s="8">
        <v>17</v>
      </c>
      <c r="G92" s="10"/>
      <c r="H92" s="9" t="str">
        <f>IF(G92="","",E92*G92)</f>
        <v/>
      </c>
      <c r="I92" s="11" t="str">
        <f>HYPERLINK("https://optomposuda.ru/product/svecha-dekorativnaya-parafinovaya-cvet-siniy-kruglaya-razmer-d-7-5sm-art-36-0616-30","открыть")</f>
        <v>открыть</v>
      </c>
    </row>
    <row r="93" spans="1:9" x14ac:dyDescent="0.25">
      <c r="A93" t="s">
        <v>5148</v>
      </c>
      <c r="B93" t="s">
        <v>5149</v>
      </c>
      <c r="C93" t="s">
        <v>4989</v>
      </c>
      <c r="D93" s="8">
        <v>1</v>
      </c>
      <c r="E93" s="9">
        <v>299.35</v>
      </c>
      <c r="F93" s="8">
        <v>83</v>
      </c>
      <c r="G93" s="10"/>
      <c r="H93" s="9" t="str">
        <f>IF(G93="","",E93*G93)</f>
        <v/>
      </c>
      <c r="I93" s="11" t="str">
        <f>HYPERLINK("https://optomposuda.ru/product/svecha-dekorativnaya-parafinovaya-cvet-siniy-razmer-7-5x10-sm-art-36-0616-40","открыть")</f>
        <v>открыть</v>
      </c>
    </row>
    <row r="94" spans="1:9" x14ac:dyDescent="0.25">
      <c r="A94" t="s">
        <v>5150</v>
      </c>
      <c r="B94" t="s">
        <v>5151</v>
      </c>
      <c r="C94" t="s">
        <v>4989</v>
      </c>
      <c r="D94" s="8">
        <v>1</v>
      </c>
      <c r="E94" s="9">
        <v>399.77</v>
      </c>
      <c r="F94" s="8">
        <v>23</v>
      </c>
      <c r="G94" s="10"/>
      <c r="H94" s="9" t="str">
        <f>IF(G94="","",E94*G94)</f>
        <v/>
      </c>
      <c r="I94" s="11" t="str">
        <f>HYPERLINK("https://optomposuda.ru/product/svecha-dekorativnaya-parafinovaya-cvet-siniy-razmer-7-5x15-sm-art-64-0203-15","открыть")</f>
        <v>открыть</v>
      </c>
    </row>
    <row r="95" spans="1:9" x14ac:dyDescent="0.25">
      <c r="A95" t="s">
        <v>5152</v>
      </c>
      <c r="B95" t="s">
        <v>5153</v>
      </c>
      <c r="C95" t="s">
        <v>4989</v>
      </c>
      <c r="D95" s="8">
        <v>1</v>
      </c>
      <c r="E95" s="9">
        <v>478.87</v>
      </c>
      <c r="F95" s="8">
        <v>49</v>
      </c>
      <c r="G95" s="10"/>
      <c r="H95" s="9" t="str">
        <f>IF(G95="","",E95*G95)</f>
        <v/>
      </c>
      <c r="I95" s="11" t="str">
        <f>HYPERLINK("https://optomposuda.ru/product/svecha-dekorativnaya-parafinovaya-cvet-siniy-razmer-7-5x20-sm-art-64-0214-15","открыть")</f>
        <v>открыть</v>
      </c>
    </row>
    <row r="96" spans="1:9" x14ac:dyDescent="0.25">
      <c r="A96" t="s">
        <v>5154</v>
      </c>
      <c r="B96" t="s">
        <v>5155</v>
      </c>
      <c r="C96" t="s">
        <v>4989</v>
      </c>
      <c r="D96" s="8">
        <v>1</v>
      </c>
      <c r="E96" s="9">
        <v>259.2</v>
      </c>
      <c r="F96" s="8">
        <v>46</v>
      </c>
      <c r="G96" s="10"/>
      <c r="H96" s="9" t="str">
        <f>IF(G96="","",E96*G96)</f>
        <v/>
      </c>
      <c r="I96" s="11" t="str">
        <f>HYPERLINK("https://optomposuda.ru/product/svecha-dekorativnaya-parafinovaya-cvet-siniy-razmer-7-5x7-5-sm-art-36-0616-39","открыть")</f>
        <v>открыть</v>
      </c>
    </row>
    <row r="97" spans="1:9" x14ac:dyDescent="0.25">
      <c r="A97" t="s">
        <v>5156</v>
      </c>
      <c r="B97" t="s">
        <v>5157</v>
      </c>
      <c r="C97" t="s">
        <v>4989</v>
      </c>
      <c r="D97" s="8">
        <v>1</v>
      </c>
      <c r="E97" s="9">
        <v>269.26</v>
      </c>
      <c r="F97" s="8">
        <v>86</v>
      </c>
      <c r="G97" s="10"/>
      <c r="H97" s="9" t="str">
        <f>IF(G97="","",E97*G97)</f>
        <v/>
      </c>
      <c r="I97" s="11" t="str">
        <f>HYPERLINK("https://optomposuda.ru/product/svecha-dekorativnaya-parafinovaya-cvet-slonovaya-kost-kruglaya-razmer-d-7-5sm-art-36-0616-","открыть")</f>
        <v>открыть</v>
      </c>
    </row>
    <row r="98" spans="1:9" x14ac:dyDescent="0.25">
      <c r="A98" t="s">
        <v>5158</v>
      </c>
      <c r="B98" t="s">
        <v>5159</v>
      </c>
      <c r="C98" t="s">
        <v>4989</v>
      </c>
      <c r="D98" s="8">
        <v>1</v>
      </c>
      <c r="E98" s="9">
        <v>439.75</v>
      </c>
      <c r="F98" s="8">
        <v>1</v>
      </c>
      <c r="G98" s="10"/>
      <c r="H98" s="9" t="str">
        <f>IF(G98="","",E98*G98)</f>
        <v/>
      </c>
      <c r="I98" s="11" t="str">
        <f>HYPERLINK("https://optomposuda.ru/product/svecha-dekorativnaya-parafinovaya-cvet-slonovaya-kost-razmer-7-5x15-sm-art-64-0203-01","открыть")</f>
        <v>открыть</v>
      </c>
    </row>
    <row r="99" spans="1:9" x14ac:dyDescent="0.25">
      <c r="A99" t="s">
        <v>5160</v>
      </c>
      <c r="B99" t="s">
        <v>5161</v>
      </c>
      <c r="C99" t="s">
        <v>4989</v>
      </c>
      <c r="D99" s="8">
        <v>1</v>
      </c>
      <c r="E99" s="9">
        <v>526.76</v>
      </c>
      <c r="F99" s="8">
        <v>224</v>
      </c>
      <c r="G99" s="10"/>
      <c r="H99" s="9" t="str">
        <f>IF(G99="","",E99*G99)</f>
        <v/>
      </c>
      <c r="I99" s="11" t="str">
        <f>HYPERLINK("https://optomposuda.ru/product/svecha-dekorativnaya-parafinovaya-cvet-slonovaya-kost-razmer-7-5x20-sm-art-64-0214-06","открыть")</f>
        <v>открыть</v>
      </c>
    </row>
    <row r="100" spans="1:9" x14ac:dyDescent="0.25">
      <c r="A100" t="s">
        <v>5162</v>
      </c>
      <c r="B100" t="s">
        <v>5163</v>
      </c>
      <c r="C100" t="s">
        <v>4989</v>
      </c>
      <c r="D100" s="8">
        <v>1</v>
      </c>
      <c r="E100" s="9">
        <v>259.2</v>
      </c>
      <c r="F100" s="8">
        <v>1</v>
      </c>
      <c r="G100" s="10"/>
      <c r="H100" s="9" t="str">
        <f>IF(G100="","",E100*G100)</f>
        <v/>
      </c>
      <c r="I100" s="11" t="str">
        <f>HYPERLINK("https://optomposuda.ru/product/svecha-dekorativnaya-parafinovaya-cvet-slonovaya-kost-razmer-7-5x7-5-sm-art-64-0201-06","открыть")</f>
        <v>открыть</v>
      </c>
    </row>
    <row r="101" spans="1:9" x14ac:dyDescent="0.25">
      <c r="A101" t="s">
        <v>5164</v>
      </c>
      <c r="B101" t="s">
        <v>5165</v>
      </c>
      <c r="C101" t="s">
        <v>4989</v>
      </c>
      <c r="D101" s="8">
        <v>1</v>
      </c>
      <c r="E101" s="9">
        <v>244.78</v>
      </c>
      <c r="F101" s="8">
        <v>55</v>
      </c>
      <c r="G101" s="10"/>
      <c r="H101" s="9" t="str">
        <f>IF(G101="","",E101*G101)</f>
        <v/>
      </c>
      <c r="I101" s="11" t="str">
        <f>HYPERLINK("https://optomposuda.ru/product/svecha-dekorativnaya-parafinovaya-cvet-temno-zelenyy-kruglaya-razmer-d-7-5sm-art-36-0616-2","открыть")</f>
        <v>открыть</v>
      </c>
    </row>
    <row r="102" spans="1:9" x14ac:dyDescent="0.25">
      <c r="A102" t="s">
        <v>5166</v>
      </c>
      <c r="B102" t="s">
        <v>5167</v>
      </c>
      <c r="C102" t="s">
        <v>4989</v>
      </c>
      <c r="D102" s="8">
        <v>1</v>
      </c>
      <c r="E102" s="9">
        <v>329.29</v>
      </c>
      <c r="F102" s="8">
        <v>219</v>
      </c>
      <c r="G102" s="10"/>
      <c r="H102" s="9" t="str">
        <f>IF(G102="","",E102*G102)</f>
        <v/>
      </c>
      <c r="I102" s="11" t="str">
        <f>HYPERLINK("https://optomposuda.ru/product/svecha-dekorativnaya-parafinovaya-cvet-temno-zelenyy-razmer-7-5x10-sm-art-36-0616-37","открыть")</f>
        <v>открыть</v>
      </c>
    </row>
    <row r="103" spans="1:9" x14ac:dyDescent="0.25">
      <c r="A103" t="s">
        <v>5168</v>
      </c>
      <c r="B103" t="s">
        <v>5169</v>
      </c>
      <c r="C103" t="s">
        <v>4989</v>
      </c>
      <c r="D103" s="8">
        <v>1</v>
      </c>
      <c r="E103" s="9">
        <v>439.75</v>
      </c>
      <c r="F103" s="8">
        <v>128</v>
      </c>
      <c r="G103" s="10"/>
      <c r="H103" s="9" t="str">
        <f>IF(G103="","",E103*G103)</f>
        <v/>
      </c>
      <c r="I103" s="11" t="str">
        <f>HYPERLINK("https://optomposuda.ru/product/svecha-dekorativnaya-parafinovaya-cvet-temno-zelenyy-razmer-7-5x15-sm-art-64-0203-16","открыть")</f>
        <v>открыть</v>
      </c>
    </row>
    <row r="104" spans="1:9" x14ac:dyDescent="0.25">
      <c r="A104" t="s">
        <v>5170</v>
      </c>
      <c r="B104" t="s">
        <v>5171</v>
      </c>
      <c r="C104" t="s">
        <v>4989</v>
      </c>
      <c r="D104" s="8">
        <v>1</v>
      </c>
      <c r="E104" s="9">
        <v>526.76</v>
      </c>
      <c r="F104" s="8">
        <v>185</v>
      </c>
      <c r="G104" s="10"/>
      <c r="H104" s="9" t="str">
        <f>IF(G104="","",E104*G104)</f>
        <v/>
      </c>
      <c r="I104" s="11" t="str">
        <f>HYPERLINK("https://optomposuda.ru/product/svecha-dekorativnaya-parafinovaya-cvet-temno-zelenyy-razmer-7-5x20-sm-art-36-0616-38","открыть")</f>
        <v>открыть</v>
      </c>
    </row>
    <row r="105" spans="1:9" x14ac:dyDescent="0.25">
      <c r="A105" t="s">
        <v>5172</v>
      </c>
      <c r="B105" t="s">
        <v>5173</v>
      </c>
      <c r="C105" t="s">
        <v>4989</v>
      </c>
      <c r="D105" s="8">
        <v>1</v>
      </c>
      <c r="E105" s="9">
        <v>259.2</v>
      </c>
      <c r="F105" s="8">
        <v>195</v>
      </c>
      <c r="G105" s="10"/>
      <c r="H105" s="9" t="str">
        <f>IF(G105="","",E105*G105)</f>
        <v/>
      </c>
      <c r="I105" s="11" t="str">
        <f>HYPERLINK("https://optomposuda.ru/product/svecha-dekorativnaya-parafinovaya-cvet-temno-zelenyy-razmer-7-5x7-5-sm-art-36-0616-36","открыть")</f>
        <v>открыть</v>
      </c>
    </row>
    <row r="106" spans="1:9" x14ac:dyDescent="0.25">
      <c r="A106" t="s">
        <v>5174</v>
      </c>
      <c r="B106" t="s">
        <v>5175</v>
      </c>
      <c r="C106" t="s">
        <v>4989</v>
      </c>
      <c r="D106" s="8">
        <v>1</v>
      </c>
      <c r="E106" s="9">
        <v>244.78</v>
      </c>
      <c r="F106" s="8">
        <v>181</v>
      </c>
      <c r="G106" s="10"/>
      <c r="H106" s="9" t="str">
        <f>IF(G106="","",E106*G106)</f>
        <v/>
      </c>
      <c r="I106" s="11" t="str">
        <f>HYPERLINK("https://optomposuda.ru/product/svecha-dekorativnaya-parafinovaya-cvet-temno-seryy-kruglaya-razmer-d-7-5sm-art-36-0616-24","открыть")</f>
        <v>открыть</v>
      </c>
    </row>
    <row r="107" spans="1:9" x14ac:dyDescent="0.25">
      <c r="A107" t="s">
        <v>5176</v>
      </c>
      <c r="B107" t="s">
        <v>5177</v>
      </c>
      <c r="C107" t="s">
        <v>4989</v>
      </c>
      <c r="D107" s="8">
        <v>1</v>
      </c>
      <c r="E107" s="9">
        <v>329.29</v>
      </c>
      <c r="F107" s="8">
        <v>203</v>
      </c>
      <c r="G107" s="10"/>
      <c r="H107" s="9" t="str">
        <f>IF(G107="","",E107*G107)</f>
        <v/>
      </c>
      <c r="I107" s="11" t="str">
        <f>HYPERLINK("https://optomposuda.ru/product/svecha-dekorativnaya-parafinovaya-cvet-temno-seryy-razmer-7-5x10-sm-art-64-0202-10","открыть")</f>
        <v>открыть</v>
      </c>
    </row>
    <row r="108" spans="1:9" x14ac:dyDescent="0.25">
      <c r="A108" t="s">
        <v>5178</v>
      </c>
      <c r="B108" t="s">
        <v>5179</v>
      </c>
      <c r="C108" t="s">
        <v>4989</v>
      </c>
      <c r="D108" s="8">
        <v>1</v>
      </c>
      <c r="E108" s="9">
        <v>439.75</v>
      </c>
      <c r="F108" s="8">
        <v>200</v>
      </c>
      <c r="G108" s="10"/>
      <c r="H108" s="9" t="str">
        <f>IF(G108="","",E108*G108)</f>
        <v/>
      </c>
      <c r="I108" s="11" t="str">
        <f>HYPERLINK("https://optomposuda.ru/product/svecha-dekorativnaya-parafinovaya-cvet-temno-seryy-razmer-7-5x15-sm-art-64-0203-14","открыть")</f>
        <v>открыть</v>
      </c>
    </row>
    <row r="109" spans="1:9" x14ac:dyDescent="0.25">
      <c r="A109" t="s">
        <v>5180</v>
      </c>
      <c r="B109" t="s">
        <v>5181</v>
      </c>
      <c r="C109" t="s">
        <v>4989</v>
      </c>
      <c r="D109" s="8">
        <v>1</v>
      </c>
      <c r="E109" s="9">
        <v>526.76</v>
      </c>
      <c r="F109" s="8">
        <v>250</v>
      </c>
      <c r="G109" s="10"/>
      <c r="H109" s="9" t="str">
        <f>IF(G109="","",E109*G109)</f>
        <v/>
      </c>
      <c r="I109" s="11" t="str">
        <f>HYPERLINK("https://optomposuda.ru/product/svecha-dekorativnaya-parafinovaya-cvet-temno-seryy-razmer-7-5x20-sm-art-64-0214-14","открыть")</f>
        <v>открыть</v>
      </c>
    </row>
    <row r="110" spans="1:9" x14ac:dyDescent="0.25">
      <c r="A110" t="s">
        <v>5182</v>
      </c>
      <c r="B110" t="s">
        <v>5183</v>
      </c>
      <c r="C110" t="s">
        <v>4989</v>
      </c>
      <c r="D110" s="8">
        <v>1</v>
      </c>
      <c r="E110" s="9">
        <v>259.2</v>
      </c>
      <c r="F110" s="8">
        <v>241</v>
      </c>
      <c r="G110" s="10"/>
      <c r="H110" s="9" t="str">
        <f>IF(G110="","",E110*G110)</f>
        <v/>
      </c>
      <c r="I110" s="11" t="str">
        <f>HYPERLINK("https://optomposuda.ru/product/svecha-dekorativnaya-parafinovaya-cvet-temno-seryy-razmer-7-5x7-5-sm-art-64-0201-09","открыть")</f>
        <v>открыть</v>
      </c>
    </row>
    <row r="111" spans="1:9" x14ac:dyDescent="0.25">
      <c r="A111" t="s">
        <v>5184</v>
      </c>
      <c r="B111" t="s">
        <v>5185</v>
      </c>
      <c r="C111" t="s">
        <v>4989</v>
      </c>
      <c r="D111" s="8">
        <v>1</v>
      </c>
      <c r="E111" s="9">
        <v>244.78</v>
      </c>
      <c r="F111" s="8">
        <v>14</v>
      </c>
      <c r="G111" s="10"/>
      <c r="H111" s="9" t="str">
        <f>IF(G111="","",E111*G111)</f>
        <v/>
      </c>
      <c r="I111" s="11" t="str">
        <f>HYPERLINK("https://optomposuda.ru/product/svecha-dekorativnaya-parafinovaya-cvet-temno-fioletovyy-kruglaya-razmer-d-7-5sm-art-36-061","открыть")</f>
        <v>открыть</v>
      </c>
    </row>
    <row r="112" spans="1:9" x14ac:dyDescent="0.25">
      <c r="A112" t="s">
        <v>5186</v>
      </c>
      <c r="B112" t="s">
        <v>5187</v>
      </c>
      <c r="C112" t="s">
        <v>4989</v>
      </c>
      <c r="D112" s="8">
        <v>1</v>
      </c>
      <c r="E112" s="9">
        <v>299.35</v>
      </c>
      <c r="F112" s="8">
        <v>5</v>
      </c>
      <c r="G112" s="10"/>
      <c r="H112" s="9" t="str">
        <f>IF(G112="","",E112*G112)</f>
        <v/>
      </c>
      <c r="I112" s="11" t="str">
        <f>HYPERLINK("https://optomposuda.ru/product/svecha-dekorativnaya-parafinovaya-cvet-temno-fioletovyy-razmer-7-5x10-sm-art-36-0616-41","открыть")</f>
        <v>открыть</v>
      </c>
    </row>
    <row r="113" spans="1:9" x14ac:dyDescent="0.25">
      <c r="A113" t="s">
        <v>5188</v>
      </c>
      <c r="B113" t="s">
        <v>5189</v>
      </c>
      <c r="C113" t="s">
        <v>4989</v>
      </c>
      <c r="D113" s="8">
        <v>1</v>
      </c>
      <c r="E113" s="9">
        <v>399.77</v>
      </c>
      <c r="F113" s="8">
        <v>24</v>
      </c>
      <c r="G113" s="10"/>
      <c r="H113" s="9" t="str">
        <f>IF(G113="","",E113*G113)</f>
        <v/>
      </c>
      <c r="I113" s="11" t="str">
        <f>HYPERLINK("https://optomposuda.ru/product/svecha-dekorativnaya-parafinovaya-cvet-temno-fioletovyy-razmer-7-5x15-sm-art-64-0203-06","открыть")</f>
        <v>открыть</v>
      </c>
    </row>
    <row r="114" spans="1:9" x14ac:dyDescent="0.25">
      <c r="A114" t="s">
        <v>5190</v>
      </c>
      <c r="B114" t="s">
        <v>5191</v>
      </c>
      <c r="C114" t="s">
        <v>4989</v>
      </c>
      <c r="D114" s="8">
        <v>1</v>
      </c>
      <c r="E114" s="9">
        <v>478.87</v>
      </c>
      <c r="F114" s="8">
        <v>1</v>
      </c>
      <c r="G114" s="10"/>
      <c r="H114" s="9" t="str">
        <f>IF(G114="","",E114*G114)</f>
        <v/>
      </c>
      <c r="I114" s="11" t="str">
        <f>HYPERLINK("https://optomposuda.ru/product/svecha-dekorativnaya-parafinovaya-cvet-temno-fioletovyy-razmer-7-5x20-sm-art-64-0214-03","открыть")</f>
        <v>открыть</v>
      </c>
    </row>
    <row r="115" spans="1:9" x14ac:dyDescent="0.25">
      <c r="A115" t="s">
        <v>5192</v>
      </c>
      <c r="B115" t="s">
        <v>5193</v>
      </c>
      <c r="C115" t="s">
        <v>4989</v>
      </c>
      <c r="D115" s="8">
        <v>1</v>
      </c>
      <c r="E115" s="9">
        <v>259.2</v>
      </c>
      <c r="F115" s="8">
        <v>4</v>
      </c>
      <c r="G115" s="10"/>
      <c r="H115" s="9" t="str">
        <f>IF(G115="","",E115*G115)</f>
        <v/>
      </c>
      <c r="I115" s="11" t="str">
        <f>HYPERLINK("https://optomposuda.ru/product/svecha-dekorativnaya-parafinovaya-cvet-temno-fioletovyy-razmer-7-5x7-5-sm-art-64-0201-03","открыть")</f>
        <v>открыть</v>
      </c>
    </row>
    <row r="116" spans="1:9" x14ac:dyDescent="0.25">
      <c r="A116" s="7" t="s">
        <v>74</v>
      </c>
      <c r="B116" s="7"/>
      <c r="C116" s="7"/>
      <c r="D116" s="7"/>
      <c r="E116" s="7"/>
      <c r="F116" s="7"/>
      <c r="G116" s="7"/>
      <c r="H116" s="7"/>
      <c r="I116" s="7"/>
    </row>
    <row r="117" spans="1:9" x14ac:dyDescent="0.25">
      <c r="A117" t="s">
        <v>5194</v>
      </c>
      <c r="B117" t="s">
        <v>5195</v>
      </c>
      <c r="C117" t="s">
        <v>4989</v>
      </c>
      <c r="D117" s="8">
        <v>12</v>
      </c>
      <c r="E117" s="9">
        <v>277.02</v>
      </c>
      <c r="F117" s="8">
        <v>955</v>
      </c>
      <c r="G117" s="10"/>
      <c r="H117" s="9" t="str">
        <f>IF(G117="","",E117*G117)</f>
        <v/>
      </c>
      <c r="I117" s="11" t="str">
        <f>HYPERLINK("https://optomposuda.ru/product/chashka-black-tea-320-ml-korichnevaya","открыть")</f>
        <v>открыть</v>
      </c>
    </row>
  </sheetData>
  <autoFilter ref="A7:I7"/>
  <mergeCells count="10">
    <mergeCell ref="A1:I1"/>
    <mergeCell ref="A2:I2"/>
    <mergeCell ref="A3:I3"/>
    <mergeCell ref="A4:I4"/>
    <mergeCell ref="A8:I8"/>
    <mergeCell ref="A20:I20"/>
    <mergeCell ref="A22:I22"/>
    <mergeCell ref="A25:I25"/>
    <mergeCell ref="A37:I37"/>
    <mergeCell ref="A116:I116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FormatPr defaultRowHeight="15" outlineLevelRow="0" outlineLevelCol="0" x14ac:dyDescent="55"/>
  <cols>
    <col min="1" max="1" width="46" customWidth="1"/>
    <col min="2" max="2" width="22" customWidth="1"/>
  </cols>
  <sheetData>
    <row r="1" spans="1:1" x14ac:dyDescent="0.25">
      <c r="A1" s="12" t="s">
        <v>5196</v>
      </c>
    </row>
    <row r="2" spans="1:1" x14ac:dyDescent="0.25">
      <c r="A2" t="s">
        <v>5197</v>
      </c>
    </row>
    <row r="4" spans="1:2" x14ac:dyDescent="0.25">
      <c r="A4" s="13" t="s">
        <v>5198</v>
      </c>
      <c r="B4" s="14">
        <f>'Альтернатива'!H5+'Индия'!H5+'Калитва'!H5+'Китай'!H5+'Лысьвенские Эмали'!H5+'ММК Эмаль'!H5+'НЕМАН'!H5+'Россия'!H5+'СКОВО'!H5+'Эльфпласт'!H5+'AKCAM'!H5+'AkuzPlastic'!H5+'BERLIN-ROYAL'!H5+'BORCAM'!H5+'DARIIS'!H5+'KERAMIKA'!H5+'KUKMARA'!H5+'LuxPlastic'!H5+'VITROSS'!H5+'ПРОЧИЕ БРЕНДЫ'!H5+'БЕЗ БРЕНДА'!H5</f>
        <v>0</v>
      </c>
    </row>
    <row r="6" spans="1:2" x14ac:dyDescent="0.25">
      <c r="A6" t="s">
        <v>5199</v>
      </c>
      <c r="B6" s="15">
        <v>10000</v>
      </c>
    </row>
    <row r="7" spans="1:2" x14ac:dyDescent="0.25">
      <c r="A7" t="s">
        <v>5200</v>
      </c>
      <c r="B7" s="15">
        <v>100000</v>
      </c>
    </row>
    <row r="9" spans="1:2" x14ac:dyDescent="0.25">
      <c r="A9" s="13" t="s">
        <v>5201</v>
      </c>
      <c r="B9" t="str">
        <f>IF(B4=0,"Заказ пуст",IF(B4&lt;B6,"Меньше минимальной суммы — добавьте позиций",IF(B4&lt;B7,"Самовывоз со склада","Доставка в пределах МКАД бесплатно")))</f>
        <v>Заказ пуст</v>
      </c>
    </row>
    <row r="11" spans="1:2" x14ac:dyDescent="0.25">
      <c r="A11" s="13" t="s">
        <v>5202</v>
      </c>
      <c r="B11" t="s">
        <v>5203</v>
      </c>
    </row>
    <row r="12" spans="1:2" x14ac:dyDescent="0.25">
      <c r="A12" t="s">
        <v>5204</v>
      </c>
      <c r="B12" t="s">
        <v>5205</v>
      </c>
    </row>
    <row r="14" spans="1:2" x14ac:dyDescent="0.25">
      <c r="A14" s="16" t="s">
        <v>5206</v>
      </c>
      <c r="B14" s="16"/>
    </row>
    <row r="15" spans="1:2" x14ac:dyDescent="0.25">
      <c r="A15" s="16"/>
      <c r="B15" s="16"/>
    </row>
    <row r="16" spans="1:2" x14ac:dyDescent="0.25">
      <c r="A16" s="16"/>
      <c r="B16" s="16"/>
    </row>
    <row r="17" spans="1:2" x14ac:dyDescent="0.25">
      <c r="A17" s="16"/>
      <c r="B17" s="16"/>
    </row>
    <row r="18" spans="1:2" x14ac:dyDescent="0.25">
      <c r="A18" s="16"/>
      <c r="B18" s="16"/>
    </row>
  </sheetData>
  <mergeCells count="1">
    <mergeCell ref="A14:B18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Альтернатива</vt:lpstr>
      <vt:lpstr>Индия</vt:lpstr>
      <vt:lpstr>Калитва</vt:lpstr>
      <vt:lpstr>Китай</vt:lpstr>
      <vt:lpstr>Лысьвенские Эмали</vt:lpstr>
      <vt:lpstr>ММК Эмаль</vt:lpstr>
      <vt:lpstr>НЕМАН</vt:lpstr>
      <vt:lpstr>Россия</vt:lpstr>
      <vt:lpstr>СКОВО</vt:lpstr>
      <vt:lpstr>Эльфпласт</vt:lpstr>
      <vt:lpstr>AKCAM</vt:lpstr>
      <vt:lpstr>AkuzPlastic</vt:lpstr>
      <vt:lpstr>BERLIN-ROYAL</vt:lpstr>
      <vt:lpstr>BORCAM</vt:lpstr>
      <vt:lpstr>DARIIS</vt:lpstr>
      <vt:lpstr>KERAMIKA</vt:lpstr>
      <vt:lpstr>KUKMARA</vt:lpstr>
      <vt:lpstr>LuxPlastic</vt:lpstr>
      <vt:lpstr>VITROSS</vt:lpstr>
      <vt:lpstr>ПРОЧИЕ БРЕНДЫ</vt:lpstr>
      <vt:lpstr>БЕЗ БРЕНДА</vt:lpstr>
      <vt:lpstr>ИТОГО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DARIIS</dc:creator>
  <dc:title/>
  <dc:subject/>
  <dc:description/>
  <cp:keywords/>
  <cp:category/>
  <cp:lastModifiedBy>Unknown</cp:lastModifiedBy>
  <dcterms:created xsi:type="dcterms:W3CDTF">2026-09-11T14:38:46Z</dcterms:created>
  <dcterms:modified xsi:type="dcterms:W3CDTF">2026-09-11T14:38:46Z</dcterms:modified>
</cp:coreProperties>
</file>